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2\Запрос ДТР_о рассмотрении проекта\L_3 Приобретение комп. техники\"/>
    </mc:Choice>
  </mc:AlternateContent>
  <bookViews>
    <workbookView xWindow="0" yWindow="0" windowWidth="28800" windowHeight="12000"/>
  </bookViews>
  <sheets>
    <sheet name="L_3 (2022)" sheetId="1" r:id="rId1"/>
    <sheet name="график" sheetId="2" r:id="rId2"/>
  </sheets>
  <definedNames>
    <definedName name="_xlnm.Print_Area" localSheetId="0">'L_3 (2022)'!$A$1:$G$99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D53" i="1"/>
  <c r="C53" i="1" l="1"/>
  <c r="B89" i="1" l="1"/>
  <c r="B88" i="1"/>
  <c r="D84" i="1"/>
  <c r="E84" i="1" s="1"/>
  <c r="F81" i="1"/>
  <c r="F79" i="1"/>
  <c r="F76" i="1"/>
  <c r="F74" i="1"/>
  <c r="F65" i="1"/>
  <c r="B44" i="1"/>
  <c r="B51" i="1" s="1"/>
  <c r="B71" i="1" s="1"/>
  <c r="C38" i="1"/>
  <c r="C44" i="1" s="1"/>
  <c r="C51" i="1" s="1"/>
  <c r="C71" i="1" s="1"/>
  <c r="B18" i="1"/>
  <c r="B17" i="1"/>
  <c r="B63" i="1" l="1"/>
  <c r="B75" i="1" s="1"/>
  <c r="D38" i="1"/>
  <c r="D63" i="1"/>
  <c r="D75" i="1" s="1"/>
  <c r="C63" i="1"/>
  <c r="C75" i="1" s="1"/>
  <c r="B80" i="1"/>
  <c r="F80" i="1" s="1"/>
  <c r="E63" i="1"/>
  <c r="D44" i="1" l="1"/>
  <c r="D51" i="1" s="1"/>
  <c r="D71" i="1" s="1"/>
  <c r="E38" i="1"/>
  <c r="E44" i="1" s="1"/>
  <c r="E51" i="1" s="1"/>
  <c r="E71" i="1" s="1"/>
  <c r="F63" i="1"/>
  <c r="E75" i="1"/>
  <c r="F75" i="1" s="1"/>
  <c r="F57" i="1"/>
  <c r="B53" i="1"/>
  <c r="F53" i="1" s="1"/>
  <c r="B78" i="1" l="1"/>
  <c r="B62" i="1"/>
  <c r="D78" i="1"/>
  <c r="D62" i="1"/>
  <c r="D64" i="1" s="1"/>
  <c r="C78" i="1"/>
  <c r="C62" i="1"/>
  <c r="C64" i="1" s="1"/>
  <c r="E78" i="1"/>
  <c r="E62" i="1"/>
  <c r="E64" i="1" s="1"/>
  <c r="F54" i="1"/>
  <c r="F56" i="1"/>
  <c r="F55" i="1"/>
  <c r="C67" i="1" l="1"/>
  <c r="C73" i="1"/>
  <c r="F62" i="1"/>
  <c r="B64" i="1"/>
  <c r="F78" i="1"/>
  <c r="E73" i="1"/>
  <c r="E67" i="1"/>
  <c r="D73" i="1"/>
  <c r="D67" i="1"/>
  <c r="B67" i="1" l="1"/>
  <c r="E68" i="1" s="1"/>
  <c r="F64" i="1"/>
  <c r="B73" i="1"/>
  <c r="D68" i="1"/>
  <c r="D77" i="1" s="1"/>
  <c r="D82" i="1" s="1"/>
  <c r="C68" i="1"/>
  <c r="C77" i="1" s="1"/>
  <c r="C82" i="1" s="1"/>
  <c r="C69" i="1" l="1"/>
  <c r="D69" i="1"/>
  <c r="E77" i="1"/>
  <c r="E82" i="1" s="1"/>
  <c r="E69" i="1"/>
  <c r="F73" i="1"/>
  <c r="B68" i="1"/>
  <c r="F67" i="1"/>
  <c r="B69" i="1"/>
  <c r="F69" i="1" l="1"/>
  <c r="F68" i="1"/>
  <c r="B77" i="1"/>
  <c r="F77" i="1" l="1"/>
  <c r="B82" i="1"/>
  <c r="F82" i="1" l="1"/>
  <c r="F87" i="1"/>
  <c r="B83" i="1"/>
  <c r="B85" i="1" l="1"/>
  <c r="B1" i="2"/>
  <c r="C83" i="1"/>
  <c r="D83" i="1" l="1"/>
  <c r="D88" i="1" s="1"/>
  <c r="C1" i="2"/>
  <c r="F86" i="1"/>
  <c r="B2" i="2"/>
  <c r="C85" i="1"/>
  <c r="C89" i="1" s="1"/>
  <c r="C88" i="1"/>
  <c r="E83" i="1" l="1"/>
  <c r="E88" i="1" s="1"/>
  <c r="F88" i="1" s="1"/>
  <c r="D1" i="2"/>
  <c r="C2" i="2"/>
  <c r="D85" i="1"/>
  <c r="E16" i="1" l="1"/>
  <c r="E1" i="2"/>
  <c r="F83" i="1"/>
  <c r="D2" i="2"/>
  <c r="E85" i="1"/>
  <c r="E89" i="1" s="1"/>
  <c r="D89" i="1"/>
  <c r="F89" i="1" l="1"/>
  <c r="E2" i="2"/>
  <c r="F85" i="1"/>
  <c r="E17" i="1" l="1"/>
</calcChain>
</file>

<file path=xl/sharedStrings.xml><?xml version="1.0" encoding="utf-8"?>
<sst xmlns="http://schemas.openxmlformats.org/spreadsheetml/2006/main" count="94" uniqueCount="84">
  <si>
    <t>УТВЕРЖДАЮ
Генеральный директор 
АО "Томскэнергосбыт"</t>
  </si>
  <si>
    <t>__________________________/А.В. Кодин</t>
  </si>
  <si>
    <t xml:space="preserve">(подпись)                            </t>
  </si>
  <si>
    <t xml:space="preserve"> </t>
  </si>
  <si>
    <t>М. П.</t>
  </si>
  <si>
    <t>Исходные данные</t>
  </si>
  <si>
    <t>Значение</t>
  </si>
  <si>
    <t>Общая стоимость объекта, руб. без НДС</t>
  </si>
  <si>
    <t>Собственный капитал</t>
  </si>
  <si>
    <t>Прочие расходы, руб. без НДС на объект</t>
  </si>
  <si>
    <t>Простой период окупаемости, лет</t>
  </si>
  <si>
    <t>Срок амортизации, лет</t>
  </si>
  <si>
    <t>Дисконтированный период окупаемости, лет</t>
  </si>
  <si>
    <t>Кол-во объектов, ед.</t>
  </si>
  <si>
    <t>Чистая приведенная стоимость (NPV) через 10 лет после ввода объекта в эксплуатацию, руб.</t>
  </si>
  <si>
    <t>-</t>
  </si>
  <si>
    <t>Затраты на ремонт объекта, руб. без НДС</t>
  </si>
  <si>
    <t>Целесообразность реализации проекта</t>
  </si>
  <si>
    <t>да</t>
  </si>
  <si>
    <t>Первый ремонт объекта, лет после постройки</t>
  </si>
  <si>
    <t>Периодичность ремонта объекта, лет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</si>
  <si>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</si>
  <si>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</si>
  <si>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</si>
  <si>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>Налог на прибыль</t>
  </si>
  <si>
    <t>Прочие расходы, руб. без НДС в месяц</t>
  </si>
  <si>
    <t>Рабочий капитал в % от выручки</t>
  </si>
  <si>
    <t>Срок кредита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</si>
  <si>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</si>
  <si>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</si>
  <si>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</si>
  <si>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</si>
  <si>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</si>
  <si>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Средневзвешенная стоимость капитала (WACC)</t>
  </si>
  <si>
    <t>Период</t>
  </si>
  <si>
    <t>Итого</t>
  </si>
  <si>
    <t>Прогноз инфляции</t>
  </si>
  <si>
    <t>Кумулятивная инфляция</t>
  </si>
  <si>
    <t>Доход, руб. без НДС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</si>
  <si>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</si>
  <si>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</si>
  <si>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</si>
  <si>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</si>
  <si>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</si>
  <si>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Бюджет доходов и расходов, руб.</t>
  </si>
  <si>
    <t>Доход</t>
  </si>
  <si>
    <t>Экономия на материалах для ремонта компьютеров</t>
  </si>
  <si>
    <t xml:space="preserve"> Экономия на ФОТ  для диагностики и переустановке комплектующих на персональных компьютерах</t>
  </si>
  <si>
    <t>Экономия на страховыех взносах для диагностики и переустановки комплектующих на персональных компьютерах</t>
  </si>
  <si>
    <t>Экономия на расходах соц. характера для диагностики и переустановки комплектующих на персональных компьютерах</t>
  </si>
  <si>
    <t>Операционные расходы</t>
  </si>
  <si>
    <t>Ремонт объекта</t>
  </si>
  <si>
    <t>Налог на имущество (После ввода объекта в эксплуатацию)</t>
  </si>
  <si>
    <t>Прибыль до вычета расходов по уплате налога, процентов и начисленной амортизации (EBITDA)</t>
  </si>
  <si>
    <t>Амортизация</t>
  </si>
  <si>
    <t>Прибыль до вычета расходов по уплате налогов и процентов</t>
  </si>
  <si>
    <t>(EBIT)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</si>
  <si>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</si>
  <si>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</si>
  <si>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</si>
  <si>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</si>
  <si>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Прибыль до вычета расходов по уплате налогов и процентов (EBIT)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</si>
  <si>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</si>
  <si>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</si>
  <si>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</si>
  <si>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</si>
  <si>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</si>
  <si>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чистый денежный поток</t>
  </si>
  <si>
    <t>Коэффициент дисконтирования</t>
  </si>
  <si>
    <t>Дисконтированный денежный поток нарастающим итогом (PV)</t>
  </si>
  <si>
    <t>Чистая приведенная стоимость без учета продажи (NPV)</t>
  </si>
  <si>
    <t>Внутренняя норма доходности (IRR)</t>
  </si>
  <si>
    <t>Срок окупаемости (PBP)</t>
  </si>
  <si>
    <t>Дисконтированный срок окупаемости (DBP)</t>
  </si>
  <si>
    <t>* Форма заполняется:</t>
  </si>
  <si>
    <t>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</si>
  <si>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- в отношении реконструированных объектов в том случае, если данный объект после реконструкции "создает" новый финансовый поток</t>
  </si>
  <si>
    <t>- по проектам, общая стоимость реализации которых составляет 500 млн. рублей и более.</t>
  </si>
  <si>
    <t>**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эксплуатацию.</t>
  </si>
  <si>
    <t>Дисконтированный денежный поток</t>
  </si>
  <si>
    <t>период</t>
  </si>
  <si>
    <t>Заместитель генерального директора по экономике и финансам</t>
  </si>
  <si>
    <t>О.В. Забарова</t>
  </si>
  <si>
    <t>Финансовая модель по проекту L_3 "Приобретение компьютерной техники (2022 г.)"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</si>
</sst>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"/>
  </numFmts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/>
    </xf>
    <xf numFmtId="0" fontId="1" fillId="0" borderId="0" xfId="0" applyNumberFormat="1" applyFont="1" applyFill="1" applyAlignment="1">
      <alignment horizontal="right"/>
    </xf>
    <xf numFmtId="0" fontId="2" fillId="0" borderId="0" xfId="0" applyFont="1" applyFill="1"/>
    <xf numFmtId="0" fontId="2" fillId="0" borderId="0" xfId="0" applyFont="1"/>
    <xf numFmtId="0" fontId="3" fillId="0" borderId="0" xfId="0" applyFont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0" xfId="0" applyFont="1"/>
    <xf numFmtId="0" fontId="4" fillId="0" borderId="0" xfId="0" applyFont="1" applyBorder="1"/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6" fillId="0" borderId="0" xfId="0" applyFont="1"/>
    <xf numFmtId="0" fontId="6" fillId="0" borderId="0" xfId="0" applyFont="1" applyFill="1" applyBorder="1"/>
    <xf numFmtId="0" fontId="6" fillId="0" borderId="0" xfId="0" applyFont="1" applyFill="1"/>
    <xf numFmtId="0" fontId="4" fillId="0" borderId="0" xfId="0" applyFont="1" applyFill="1" applyBorder="1"/>
    <xf numFmtId="0" fontId="7" fillId="0" borderId="2" xfId="0" applyFont="1" applyBorder="1" applyAlignment="1">
      <alignment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7" fillId="0" borderId="4" xfId="0" applyFont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2" fontId="4" fillId="0" borderId="3" xfId="0" applyNumberFormat="1" applyFont="1" applyFill="1" applyBorder="1"/>
    <xf numFmtId="165" fontId="4" fillId="0" borderId="5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2" fontId="4" fillId="0" borderId="5" xfId="0" applyNumberFormat="1" applyFont="1" applyFill="1" applyBorder="1"/>
    <xf numFmtId="0" fontId="7" fillId="0" borderId="15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7" fillId="0" borderId="26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/>
    </xf>
    <xf numFmtId="0" fontId="7" fillId="0" borderId="5" xfId="0" applyNumberFormat="1" applyFont="1" applyFill="1" applyBorder="1" applyAlignment="1">
      <alignment horizontal="center"/>
    </xf>
    <xf numFmtId="0" fontId="7" fillId="0" borderId="17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8" fillId="0" borderId="13" xfId="0" applyFont="1" applyBorder="1" applyAlignment="1">
      <alignment vertical="center"/>
    </xf>
    <xf numFmtId="4" fontId="8" fillId="0" borderId="24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/>
    </xf>
    <xf numFmtId="0" fontId="9" fillId="0" borderId="0" xfId="0" applyFont="1" applyFill="1"/>
    <xf numFmtId="0" fontId="5" fillId="0" borderId="0" xfId="0" applyFont="1" applyFill="1"/>
    <xf numFmtId="0" fontId="5" fillId="0" borderId="0" xfId="0" applyFont="1"/>
    <xf numFmtId="0" fontId="7" fillId="0" borderId="13" xfId="0" applyFont="1" applyBorder="1" applyAlignment="1">
      <alignment horizontal="left" vertical="center" indent="2"/>
    </xf>
    <xf numFmtId="4" fontId="7" fillId="0" borderId="24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7" fillId="0" borderId="4" xfId="0" applyFont="1" applyBorder="1" applyAlignment="1">
      <alignment horizontal="left" vertical="center" wrapText="1" indent="2"/>
    </xf>
    <xf numFmtId="164" fontId="4" fillId="0" borderId="24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/>
    </xf>
    <xf numFmtId="0" fontId="8" fillId="0" borderId="8" xfId="0" applyFont="1" applyBorder="1" applyAlignment="1">
      <alignment vertical="center" wrapText="1"/>
    </xf>
    <xf numFmtId="164" fontId="8" fillId="0" borderId="27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/>
    </xf>
    <xf numFmtId="0" fontId="8" fillId="0" borderId="8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4" fontId="8" fillId="0" borderId="24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0" fontId="8" fillId="0" borderId="16" xfId="0" applyFont="1" applyBorder="1" applyAlignment="1">
      <alignment vertical="center"/>
    </xf>
    <xf numFmtId="164" fontId="8" fillId="0" borderId="25" xfId="0" applyNumberFormat="1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/>
    <xf numFmtId="0" fontId="8" fillId="0" borderId="0" xfId="0" applyFont="1" applyFill="1"/>
    <xf numFmtId="0" fontId="8" fillId="0" borderId="0" xfId="0" applyFont="1"/>
    <xf numFmtId="164" fontId="7" fillId="0" borderId="24" xfId="0" applyNumberFormat="1" applyFont="1" applyFill="1" applyBorder="1" applyAlignment="1">
      <alignment horizontal="center" vertical="center"/>
    </xf>
    <xf numFmtId="4" fontId="7" fillId="0" borderId="24" xfId="0" applyNumberFormat="1" applyFont="1" applyFill="1" applyBorder="1" applyAlignment="1">
      <alignment horizontal="center"/>
    </xf>
    <xf numFmtId="0" fontId="7" fillId="0" borderId="24" xfId="0" applyNumberFormat="1" applyFont="1" applyFill="1" applyBorder="1" applyAlignment="1">
      <alignment horizontal="center"/>
    </xf>
    <xf numFmtId="4" fontId="8" fillId="0" borderId="29" xfId="0" applyNumberFormat="1" applyFont="1" applyFill="1" applyBorder="1" applyAlignment="1">
      <alignment horizontal="center"/>
    </xf>
    <xf numFmtId="4" fontId="8" fillId="0" borderId="24" xfId="0" applyNumberFormat="1" applyFont="1" applyFill="1" applyBorder="1" applyAlignment="1">
      <alignment horizontal="center"/>
    </xf>
    <xf numFmtId="166" fontId="7" fillId="0" borderId="24" xfId="0" applyNumberFormat="1" applyFont="1" applyFill="1" applyBorder="1" applyAlignment="1">
      <alignment horizontal="center" vertical="center"/>
    </xf>
    <xf numFmtId="166" fontId="7" fillId="0" borderId="24" xfId="0" applyNumberFormat="1" applyFont="1" applyFill="1" applyBorder="1" applyAlignment="1">
      <alignment horizontal="center"/>
    </xf>
    <xf numFmtId="0" fontId="8" fillId="0" borderId="10" xfId="0" applyFont="1" applyBorder="1" applyAlignment="1">
      <alignment vertical="center"/>
    </xf>
    <xf numFmtId="4" fontId="8" fillId="0" borderId="27" xfId="0" applyNumberFormat="1" applyFont="1" applyFill="1" applyBorder="1" applyAlignment="1">
      <alignment horizontal="center"/>
    </xf>
    <xf numFmtId="0" fontId="8" fillId="0" borderId="24" xfId="0" applyNumberFormat="1" applyFont="1" applyFill="1" applyBorder="1" applyAlignment="1">
      <alignment horizontal="center" vertical="center"/>
    </xf>
    <xf numFmtId="0" fontId="8" fillId="0" borderId="24" xfId="0" applyNumberFormat="1" applyFont="1" applyFill="1" applyBorder="1" applyAlignment="1">
      <alignment horizontal="center"/>
    </xf>
    <xf numFmtId="9" fontId="8" fillId="0" borderId="5" xfId="0" applyNumberFormat="1" applyFont="1" applyFill="1" applyBorder="1" applyAlignment="1">
      <alignment horizontal="center"/>
    </xf>
    <xf numFmtId="165" fontId="8" fillId="0" borderId="24" xfId="0" applyNumberFormat="1" applyFont="1" applyFill="1" applyBorder="1" applyAlignment="1">
      <alignment horizontal="center" vertical="center"/>
    </xf>
    <xf numFmtId="165" fontId="8" fillId="0" borderId="24" xfId="0" applyNumberFormat="1" applyFont="1" applyFill="1" applyBorder="1" applyAlignment="1">
      <alignment horizontal="center"/>
    </xf>
    <xf numFmtId="2" fontId="8" fillId="0" borderId="5" xfId="0" applyNumberFormat="1" applyFont="1" applyFill="1" applyBorder="1" applyAlignment="1">
      <alignment horizontal="center"/>
    </xf>
    <xf numFmtId="0" fontId="8" fillId="0" borderId="18" xfId="0" applyFont="1" applyBorder="1" applyAlignment="1">
      <alignment vertical="center"/>
    </xf>
    <xf numFmtId="165" fontId="8" fillId="0" borderId="25" xfId="0" applyNumberFormat="1" applyFont="1" applyFill="1" applyBorder="1" applyAlignment="1">
      <alignment horizontal="center" vertical="center"/>
    </xf>
    <xf numFmtId="165" fontId="8" fillId="0" borderId="30" xfId="0" applyNumberFormat="1" applyFont="1" applyFill="1" applyBorder="1" applyAlignment="1">
      <alignment horizontal="center"/>
    </xf>
    <xf numFmtId="2" fontId="8" fillId="0" borderId="17" xfId="0" applyNumberFormat="1" applyFont="1" applyFill="1" applyBorder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Fill="1"/>
    <xf numFmtId="0" fontId="1" fillId="0" borderId="0" xfId="0" applyFont="1"/>
    <xf numFmtId="0" fontId="10" fillId="0" borderId="0" xfId="0" applyFont="1"/>
    <xf numFmtId="0" fontId="11" fillId="0" borderId="0" xfId="0" applyFont="1"/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4" fontId="8" fillId="0" borderId="27" xfId="0" applyNumberFormat="1" applyFont="1" applyFill="1" applyBorder="1" applyAlignment="1">
      <alignment horizontal="center"/>
    </xf>
    <xf numFmtId="4" fontId="8" fillId="0" borderId="23" xfId="0" applyNumberFormat="1" applyFont="1" applyFill="1" applyBorder="1" applyAlignment="1">
      <alignment horizontal="center"/>
    </xf>
    <xf numFmtId="0" fontId="8" fillId="0" borderId="23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center"/>
    </xf>
    <xf numFmtId="0" fontId="8" fillId="0" borderId="15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164" fontId="8" fillId="0" borderId="27" xfId="0" applyNumberFormat="1" applyFont="1" applyFill="1" applyBorder="1" applyAlignment="1">
      <alignment horizontal="center" vertical="center"/>
    </xf>
    <xf numFmtId="0" fontId="8" fillId="0" borderId="23" xfId="0" applyNumberFormat="1" applyFont="1" applyFill="1" applyBorder="1" applyAlignment="1">
      <alignment horizontal="center" vertical="center"/>
    </xf>
    <xf numFmtId="4" fontId="8" fillId="0" borderId="27" xfId="0" applyNumberFormat="1" applyFont="1" applyFill="1" applyBorder="1" applyAlignment="1">
      <alignment horizontal="center" vertical="center"/>
    </xf>
    <xf numFmtId="4" fontId="8" fillId="0" borderId="2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0" fontId="7" fillId="0" borderId="15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3093466056469"/>
          <c:y val="0.13662255162303183"/>
          <c:w val="0.52765572111705217"/>
          <c:h val="0.83534077693087905"/>
        </c:manualLayout>
      </c:layout>
      <c:lineChart>
        <c:grouping val="standard"/>
        <c:varyColors val="0"/>
        <c:ser>
          <c:idx val="0"/>
          <c:order val="0"/>
          <c:tx>
            <c:strRef>
              <c:f>график!$A$1</c:f>
              <c:strCache>
                <c:ptCount val="1"/>
                <c:pt idx="0">
                  <c:v>Накопленный чистый денежный поток</c:v>
                </c:pt>
              </c:strCache>
            </c:strRef>
          </c:tx>
          <c:marker>
            <c:symbol val="none"/>
          </c:marker>
          <c:cat>
            <c:numRef>
              <c:f>график!$B$4:$E$4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график!$B$1:$E$1</c:f>
              <c:numCache>
                <c:formatCode>#\ ##0.0</c:formatCode>
                <c:ptCount val="4"/>
                <c:pt idx="0">
                  <c:v>-5485.006266255582</c:v>
                </c:pt>
                <c:pt idx="1">
                  <c:v>-4061.9383724958843</c:v>
                </c:pt>
                <c:pt idx="2">
                  <c:v>-2581.9477629857993</c:v>
                </c:pt>
                <c:pt idx="3">
                  <c:v>922.03532641441427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1E-4F42-B398-61C6EFF1A232}"/>
            </c:ext>
          </c:extLst>
        </c:ser>
        <c:ser>
          <c:idx val="1"/>
          <c:order val="1"/>
          <c:tx>
            <c:strRef>
              <c:f>график!$A$2</c:f>
              <c:strCache>
                <c:ptCount val="1"/>
                <c:pt idx="0">
                  <c:v>Дисконтированный денежный поток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график!$B$4:$E$4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график!$B$2:$E$2</c:f>
              <c:numCache>
                <c:formatCode>#\ ##0.0</c:formatCode>
                <c:ptCount val="4"/>
                <c:pt idx="0">
                  <c:v>-5485.006266255582</c:v>
                </c:pt>
                <c:pt idx="1">
                  <c:v>-4116.6717530251035</c:v>
                </c:pt>
                <c:pt idx="2">
                  <c:v>-2748.3372397946259</c:v>
                </c:pt>
                <c:pt idx="3">
                  <c:v>366.69096752662676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1E-4F42-B398-61C6EFF1A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115232"/>
        <c:axId val="1"/>
      </c:lineChart>
      <c:catAx>
        <c:axId val="55611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6115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275281494909799"/>
          <c:y val="0.81018725600476404"/>
          <c:w val="0.33357190632366041"/>
          <c:h val="0.15235301469669227"/>
        </c:manualLayout>
      </c:layout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3093466056469"/>
          <c:y val="0.13662255162303183"/>
          <c:w val="0.52765572111705217"/>
          <c:h val="0.83534077693087905"/>
        </c:manualLayout>
      </c:layout>
      <c:lineChart>
        <c:grouping val="standard"/>
        <c:varyColors val="0"/>
        <c:ser>
          <c:idx val="0"/>
          <c:order val="0"/>
          <c:tx>
            <c:strRef>
              <c:f>график!$A$1</c:f>
              <c:strCache>
                <c:ptCount val="1"/>
                <c:pt idx="0">
                  <c:v>Накопленный чистый денежный поток</c:v>
                </c:pt>
              </c:strCache>
            </c:strRef>
          </c:tx>
          <c:marker>
            <c:symbol val="none"/>
          </c:marker>
          <c:cat>
            <c:numRef>
              <c:f>график!$B$4:$E$4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график!$B$1:$E$1</c:f>
              <c:numCache>
                <c:formatCode>#\ ##0.0</c:formatCode>
                <c:ptCount val="4"/>
                <c:pt idx="0">
                  <c:v>-5485.006266255582</c:v>
                </c:pt>
                <c:pt idx="1">
                  <c:v>-4061.9383724958843</c:v>
                </c:pt>
                <c:pt idx="2">
                  <c:v>-2581.9477629857993</c:v>
                </c:pt>
                <c:pt idx="3">
                  <c:v>922.03532641441427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CF-4187-BA74-5953339F669C}"/>
            </c:ext>
          </c:extLst>
        </c:ser>
        <c:ser>
          <c:idx val="1"/>
          <c:order val="1"/>
          <c:tx>
            <c:strRef>
              <c:f>график!$A$2</c:f>
              <c:strCache>
                <c:ptCount val="1"/>
                <c:pt idx="0">
                  <c:v>Дисконтированный денежный поток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график!$B$4:$E$4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график!$B$2:$E$2</c:f>
              <c:numCache>
                <c:formatCode>#\ ##0.0</c:formatCode>
                <c:ptCount val="4"/>
                <c:pt idx="0">
                  <c:v>-5485.006266255582</c:v>
                </c:pt>
                <c:pt idx="1">
                  <c:v>-4116.6717530251035</c:v>
                </c:pt>
                <c:pt idx="2">
                  <c:v>-2748.3372397946259</c:v>
                </c:pt>
                <c:pt idx="3">
                  <c:v>366.69096752662676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CF-4187-BA74-5953339F6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5361896"/>
        <c:axId val="1"/>
      </c:lineChart>
      <c:catAx>
        <c:axId val="675361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675361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275282391320511"/>
          <c:y val="0.81018730613218803"/>
          <c:w val="0.29680363841159529"/>
          <c:h val="0.15235266046289664"/>
        </c:manualLayout>
      </c:layout>
      <c:overlay val="0"/>
      <c:txPr>
        <a:bodyPr/>
        <a:lstStyle/>
        <a:p>
          <a:pPr>
            <a:defRPr sz="7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22</xdr:row>
      <xdr:rowOff>47625</xdr:rowOff>
    </xdr:from>
    <xdr:to>
      <xdr:col>6</xdr:col>
      <xdr:colOff>257175</xdr:colOff>
      <xdr:row>35</xdr:row>
      <xdr:rowOff>190500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0.65068</cdr:x>
      <cdr:y>0.57576</cdr:y>
    </cdr:from>
    <cdr:to>
      <cdr:x>0.77593</cdr:x>
      <cdr:y>0.63447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34125" y="2895600"/>
          <a:ext cx="12192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Период</a:t>
          </a:r>
        </a:p>
      </cdr:txBody>
    </cdr:sp>
  </cdr:relSizeAnchor>
  <cdr:relSizeAnchor xmlns:cdr="http://schemas.openxmlformats.org/drawingml/2006/chartDrawing">
    <cdr:from>
      <cdr:x>0.05871</cdr:x>
      <cdr:y>0.01905</cdr:y>
    </cdr:from>
    <cdr:to>
      <cdr:x>0.62231</cdr:x>
      <cdr:y>0.09091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5955" y="76200"/>
          <a:ext cx="3033083" cy="287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Денежный поток на собственный капитал, тыс. руб.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4</xdr:row>
      <xdr:rowOff>19050</xdr:rowOff>
    </xdr:from>
    <xdr:to>
      <xdr:col>17</xdr:col>
      <xdr:colOff>123825</xdr:colOff>
      <xdr:row>35</xdr:row>
      <xdr:rowOff>28575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0.65068</cdr:x>
      <cdr:y>0.57576</cdr:y>
    </cdr:from>
    <cdr:to>
      <cdr:x>0.77593</cdr:x>
      <cdr:y>0.63447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334125" y="2895600"/>
          <a:ext cx="12192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Период</a:t>
          </a:r>
        </a:p>
      </cdr:txBody>
    </cdr:sp>
  </cdr:relSizeAnchor>
  <cdr:relSizeAnchor xmlns:cdr="http://schemas.openxmlformats.org/drawingml/2006/chartDrawing">
    <cdr:from>
      <cdr:x>0.05871</cdr:x>
      <cdr:y>0.04735</cdr:y>
    </cdr:from>
    <cdr:to>
      <cdr:x>0.62231</cdr:x>
      <cdr:y>0.09091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71500" y="238125"/>
          <a:ext cx="54864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Денежный поток на собственный капитал, тыс. руб.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9"/>
  <sheetViews>
    <sheetView tabSelected="1" view="pageBreakPreview" zoomScaleNormal="100" zoomScaleSheetLayoutView="100" workbookViewId="0">
      <selection activeCell="M17" sqref="M17"/>
    </sheetView>
  </sheetViews>
  <sheetFormatPr defaultRowHeight="12.75" x14ac:dyDescent="0.2"/>
  <cols>
    <col min="1" max="1" width="46.85546875" customWidth="1"/>
    <col min="2" max="2" width="18.140625" customWidth="1"/>
    <col min="3" max="3" width="18.42578125" customWidth="1"/>
    <col min="4" max="4" width="29.28515625" customWidth="1"/>
    <col min="5" max="5" width="16.85546875" customWidth="1"/>
    <col min="6" max="6" width="13.42578125" customWidth="1"/>
    <col min="7" max="8" width="9.140625" style="1"/>
    <col min="9" max="9" width="2.7109375" style="1" customWidth="1"/>
    <col min="10" max="34" width="9.140625" style="1"/>
  </cols>
  <sheetData>
    <row r="1" spans="1:34" ht="15" x14ac:dyDescent="0.2">
      <c r="F1" s="1"/>
      <c r="G1" s="2"/>
    </row>
    <row r="2" spans="1:34" ht="15" x14ac:dyDescent="0.2">
      <c r="F2" s="1"/>
      <c r="G2" s="3"/>
    </row>
    <row r="3" spans="1:34" ht="50.25" customHeight="1" x14ac:dyDescent="0.2">
      <c r="E3" s="128" t="s">
        <v>0</v>
      </c>
      <c r="F3" s="128"/>
      <c r="G3" s="128"/>
    </row>
    <row r="4" spans="1:34" ht="15" x14ac:dyDescent="0.25">
      <c r="F4" s="1"/>
      <c r="G4" s="4"/>
    </row>
    <row r="5" spans="1:34" ht="15" x14ac:dyDescent="0.25">
      <c r="F5" s="1"/>
      <c r="G5" s="5" t="s">
        <v>1</v>
      </c>
    </row>
    <row r="6" spans="1:34" ht="15" x14ac:dyDescent="0.2">
      <c r="F6" s="1"/>
      <c r="G6" s="6" t="s">
        <v>2</v>
      </c>
    </row>
    <row r="7" spans="1:34" ht="15" x14ac:dyDescent="0.25">
      <c r="F7" s="1"/>
      <c r="G7" s="7" t="s">
        <v>3</v>
      </c>
    </row>
    <row r="8" spans="1:34" ht="15" x14ac:dyDescent="0.25">
      <c r="F8" s="1"/>
      <c r="G8" s="5" t="s">
        <v>4</v>
      </c>
    </row>
    <row r="10" spans="1:34" s="9" customFormat="1" ht="25.5" customHeight="1" x14ac:dyDescent="0.2">
      <c r="A10" s="129" t="s">
        <v>83</v>
      </c>
      <c r="B10" s="129"/>
      <c r="C10" s="129"/>
      <c r="D10" s="129"/>
      <c r="E10" s="129"/>
      <c r="F10" s="129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</row>
    <row r="11" spans="1:34" s="10" customFormat="1" ht="9" customHeight="1" x14ac:dyDescent="0.15">
      <c r="D11" s="11"/>
      <c r="E11" s="11"/>
      <c r="F11" s="12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4" s="14" customFormat="1" ht="9" customHeight="1" x14ac:dyDescent="0.2">
      <c r="D12" s="15"/>
      <c r="E12" s="15"/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34" s="18" customFormat="1" ht="8.1" customHeight="1" x14ac:dyDescent="0.2">
      <c r="A13" s="130" t="s">
        <v>5</v>
      </c>
      <c r="B13" s="132" t="s">
        <v>6</v>
      </c>
      <c r="D13" s="19"/>
      <c r="E13" s="19"/>
      <c r="F13" s="19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</row>
    <row r="14" spans="1:34" s="14" customFormat="1" ht="3" customHeight="1" thickBot="1" x14ac:dyDescent="0.25">
      <c r="A14" s="131"/>
      <c r="B14" s="131"/>
      <c r="D14" s="21"/>
      <c r="E14" s="21"/>
      <c r="F14" s="21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</row>
    <row r="15" spans="1:34" s="14" customFormat="1" ht="9.1999999999999993" customHeight="1" thickBot="1" x14ac:dyDescent="0.25">
      <c r="A15" s="22" t="s">
        <v>7</v>
      </c>
      <c r="B15" s="23">
        <v>73757.140981955134</v>
      </c>
      <c r="D15" s="24" t="s">
        <v>8</v>
      </c>
      <c r="E15" s="24"/>
      <c r="F15" s="24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spans="1:34" s="14" customFormat="1" ht="10.5" customHeight="1" x14ac:dyDescent="0.2">
      <c r="A16" s="25" t="s">
        <v>9</v>
      </c>
      <c r="B16" s="26">
        <v>0</v>
      </c>
      <c r="D16" s="27" t="s">
        <v>10</v>
      </c>
      <c r="E16" s="28">
        <f>F88</f>
        <v>3.2368607944474292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1:34" s="14" customFormat="1" ht="17.25" customHeight="1" x14ac:dyDescent="0.2">
      <c r="A17" s="25" t="s">
        <v>11</v>
      </c>
      <c r="B17" s="29">
        <f>36/12</f>
        <v>3</v>
      </c>
      <c r="D17" s="30" t="s">
        <v>12</v>
      </c>
      <c r="E17" s="31">
        <f>F89</f>
        <v>3.3822832593731276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1:34" s="14" customFormat="1" ht="8.4499999999999993" customHeight="1" x14ac:dyDescent="0.2">
      <c r="A18" s="133" t="s">
        <v>13</v>
      </c>
      <c r="B18" s="135">
        <f>97+4+3</f>
        <v>104</v>
      </c>
      <c r="D18" s="137" t="s">
        <v>14</v>
      </c>
      <c r="E18" s="139" t="s">
        <v>15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1:34" s="14" customFormat="1" ht="19.5" customHeight="1" thickBot="1" x14ac:dyDescent="0.25">
      <c r="A19" s="134"/>
      <c r="B19" s="136"/>
      <c r="D19" s="138"/>
      <c r="E19" s="140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1:34" s="14" customFormat="1" ht="18" customHeight="1" thickBot="1" x14ac:dyDescent="0.25">
      <c r="A20" s="32" t="s">
        <v>16</v>
      </c>
      <c r="B20" s="33"/>
      <c r="D20" s="34" t="s">
        <v>17</v>
      </c>
      <c r="E20" s="35" t="s">
        <v>18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  <row r="21" spans="1:34" s="14" customFormat="1" ht="18" customHeight="1" x14ac:dyDescent="0.2">
      <c r="A21" s="25" t="s">
        <v>19</v>
      </c>
      <c r="B21" s="26"/>
      <c r="D21" s="15"/>
      <c r="E21" s="15"/>
      <c r="F21" s="15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</row>
    <row r="22" spans="1:34" s="14" customFormat="1" ht="18" customHeight="1" x14ac:dyDescent="0.2">
      <c r="A22" s="25" t="s">
        <v>20</v>
      </c>
      <c r="B22" s="26"/>
      <c r="D22" s="15"/>
      <c r="E22" s="15"/>
      <c r="F22" s="15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</row>
    <row r="23" spans="1:34" s="14" customFormat="1" ht="18" customHeight="1" x14ac:dyDescent="0.2">
      <c r="A23" s="25" t="s">
        <v>21</v>
      </c>
      <c r="B23" s="26"/>
      <c r="D23" s="15"/>
      <c r="E23" s="15"/>
      <c r="F23" s="15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spans="1:34" s="14" customFormat="1" ht="18" customHeight="1" x14ac:dyDescent="0.2">
      <c r="A24" s="25" t="s">
        <v>22</v>
      </c>
      <c r="B24" s="36"/>
      <c r="D24" s="15"/>
      <c r="E24" s="15"/>
      <c r="F24" s="15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1:34" s="14" customFormat="1" ht="18" customHeight="1" x14ac:dyDescent="0.2">
      <c r="A25" s="25" t="s">
        <v>23</v>
      </c>
      <c r="B25" s="26"/>
      <c r="D25" s="15"/>
      <c r="E25" s="15"/>
      <c r="F25" s="15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1:34" s="14" customFormat="1" ht="20.25" customHeight="1" x14ac:dyDescent="0.2">
      <c r="A26" s="25"/>
      <c r="B26" s="26"/>
      <c r="D26" s="15"/>
      <c r="E26" s="15"/>
      <c r="F26" s="15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1:34" s="14" customFormat="1" ht="20.25" customHeight="1" thickBot="1" x14ac:dyDescent="0.25">
      <c r="A27" s="37" t="s">
        <v>24</v>
      </c>
      <c r="B27" s="38"/>
      <c r="D27" s="15"/>
      <c r="E27" s="15"/>
      <c r="F27" s="15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1:34" s="14" customFormat="1" ht="20.25" customHeight="1" x14ac:dyDescent="0.2">
      <c r="A28" s="22"/>
      <c r="B28" s="33"/>
      <c r="D28" s="15"/>
      <c r="E28" s="15"/>
      <c r="F28" s="15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spans="1:34" s="14" customFormat="1" ht="20.25" customHeight="1" x14ac:dyDescent="0.2">
      <c r="A29" s="25" t="s">
        <v>25</v>
      </c>
      <c r="B29" s="39"/>
      <c r="D29" s="15"/>
      <c r="E29" s="15"/>
      <c r="F29" s="15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1:34" s="14" customFormat="1" ht="20.25" customHeight="1" thickBot="1" x14ac:dyDescent="0.25">
      <c r="A30" s="40" t="s">
        <v>26</v>
      </c>
      <c r="B30" s="41"/>
      <c r="D30" s="15"/>
      <c r="E30" s="15"/>
      <c r="F30" s="15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1:34" s="14" customFormat="1" ht="20.25" customHeight="1" x14ac:dyDescent="0.2">
      <c r="A31" s="42" t="s">
        <v>27</v>
      </c>
      <c r="B31" s="36"/>
      <c r="D31" s="15"/>
      <c r="E31" s="15"/>
      <c r="F31" s="15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1:34" s="14" customFormat="1" ht="20.25" customHeight="1" x14ac:dyDescent="0.2">
      <c r="A32" s="25" t="s">
        <v>28</v>
      </c>
      <c r="B32" s="26"/>
      <c r="D32" s="15"/>
      <c r="E32" s="15"/>
      <c r="F32" s="15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1:34" s="14" customFormat="1" ht="20.25" customHeight="1" x14ac:dyDescent="0.2">
      <c r="A33" s="25" t="s">
        <v>29</v>
      </c>
      <c r="B33" s="26"/>
      <c r="D33" s="15"/>
      <c r="E33" s="15"/>
      <c r="F33" s="15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spans="1:34" s="14" customFormat="1" ht="20.25" customHeight="1" x14ac:dyDescent="0.2">
      <c r="A34" s="25" t="s">
        <v>30</v>
      </c>
      <c r="B34" s="26"/>
      <c r="D34" s="15"/>
      <c r="E34" s="15"/>
      <c r="F34" s="15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1:34" s="14" customFormat="1" ht="20.25" customHeight="1" x14ac:dyDescent="0.2">
      <c r="A35" s="25" t="s">
        <v>31</v>
      </c>
      <c r="B35" s="26"/>
      <c r="D35" s="15"/>
      <c r="E35" s="15"/>
      <c r="F35" s="15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4" s="14" customFormat="1" ht="20.25" customHeight="1" x14ac:dyDescent="0.2">
      <c r="A36" s="25" t="s">
        <v>32</v>
      </c>
      <c r="B36" s="26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spans="1:34" s="14" customFormat="1" ht="20.25" customHeight="1" thickBot="1" x14ac:dyDescent="0.25">
      <c r="A37" s="43" t="s">
        <v>33</v>
      </c>
      <c r="B37" s="44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1:34" s="14" customFormat="1" ht="14.1" customHeight="1" x14ac:dyDescent="0.2">
      <c r="A38" s="141" t="s">
        <v>34</v>
      </c>
      <c r="B38" s="122">
        <v>2022</v>
      </c>
      <c r="C38" s="122">
        <f>+B38+1</f>
        <v>2023</v>
      </c>
      <c r="D38" s="122">
        <f>+C38+1</f>
        <v>2024</v>
      </c>
      <c r="E38" s="122">
        <f>+D38+1</f>
        <v>2025</v>
      </c>
      <c r="F38" s="111" t="s">
        <v>35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4" s="14" customFormat="1" ht="10.5" customHeight="1" x14ac:dyDescent="0.2">
      <c r="A39" s="142"/>
      <c r="B39" s="123"/>
      <c r="C39" s="123"/>
      <c r="D39" s="123"/>
      <c r="E39" s="123"/>
      <c r="F39" s="112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spans="1:34" s="14" customFormat="1" ht="9.1999999999999993" customHeight="1" x14ac:dyDescent="0.2">
      <c r="A40" s="25" t="s">
        <v>36</v>
      </c>
      <c r="B40" s="45"/>
      <c r="C40" s="45"/>
      <c r="D40" s="45"/>
      <c r="E40" s="45"/>
      <c r="F40" s="46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spans="1:34" s="14" customFormat="1" ht="9.1999999999999993" customHeight="1" x14ac:dyDescent="0.2">
      <c r="A41" s="25" t="s">
        <v>37</v>
      </c>
      <c r="B41" s="45"/>
      <c r="C41" s="45"/>
      <c r="D41" s="45"/>
      <c r="E41" s="45"/>
      <c r="F41" s="46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1:34" s="14" customFormat="1" ht="9.1999999999999993" customHeight="1" thickBot="1" x14ac:dyDescent="0.25">
      <c r="A42" s="40" t="s">
        <v>38</v>
      </c>
      <c r="B42" s="47"/>
      <c r="C42" s="47"/>
      <c r="D42" s="47"/>
      <c r="E42" s="47"/>
      <c r="F42" s="48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spans="1:34" s="15" customFormat="1" ht="3" customHeight="1" thickBot="1" x14ac:dyDescent="0.25">
      <c r="A43" s="49"/>
      <c r="B43" s="49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</row>
    <row r="44" spans="1:34" s="14" customFormat="1" ht="9" customHeight="1" x14ac:dyDescent="0.2">
      <c r="A44" s="120" t="s">
        <v>39</v>
      </c>
      <c r="B44" s="122">
        <f>B38</f>
        <v>2022</v>
      </c>
      <c r="C44" s="122">
        <f>C38</f>
        <v>2023</v>
      </c>
      <c r="D44" s="122">
        <f>D38</f>
        <v>2024</v>
      </c>
      <c r="E44" s="122">
        <f>E38</f>
        <v>2025</v>
      </c>
      <c r="F44" s="111" t="s">
        <v>35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1:34" s="14" customFormat="1" ht="10.5" x14ac:dyDescent="0.2">
      <c r="A45" s="121"/>
      <c r="B45" s="123"/>
      <c r="C45" s="123"/>
      <c r="D45" s="123"/>
      <c r="E45" s="123"/>
      <c r="F45" s="112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1:34" s="14" customFormat="1" ht="9.1999999999999993" customHeight="1" x14ac:dyDescent="0.2">
      <c r="A46" s="42" t="s">
        <v>40</v>
      </c>
      <c r="B46" s="50"/>
      <c r="C46" s="50"/>
      <c r="D46" s="50"/>
      <c r="E46" s="50"/>
      <c r="F46" s="51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1:34" s="14" customFormat="1" ht="9.1999999999999993" customHeight="1" x14ac:dyDescent="0.2">
      <c r="A47" s="25" t="s">
        <v>41</v>
      </c>
      <c r="B47" s="45"/>
      <c r="C47" s="45"/>
      <c r="D47" s="45"/>
      <c r="E47" s="45"/>
      <c r="F47" s="52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spans="1:34" s="14" customFormat="1" ht="9.1999999999999993" customHeight="1" x14ac:dyDescent="0.2">
      <c r="A48" s="25" t="s">
        <v>42</v>
      </c>
      <c r="B48" s="45"/>
      <c r="C48" s="45"/>
      <c r="D48" s="45"/>
      <c r="E48" s="45"/>
      <c r="F48" s="52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spans="1:34" s="14" customFormat="1" ht="9.1999999999999993" customHeight="1" thickBot="1" x14ac:dyDescent="0.25">
      <c r="A49" s="40" t="s">
        <v>43</v>
      </c>
      <c r="B49" s="47"/>
      <c r="C49" s="47"/>
      <c r="D49" s="47"/>
      <c r="E49" s="47"/>
      <c r="F49" s="53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</row>
    <row r="50" spans="1:34" s="18" customFormat="1" ht="3" customHeight="1" thickBot="1" x14ac:dyDescent="0.25">
      <c r="A50" s="54"/>
      <c r="B50" s="54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</row>
    <row r="51" spans="1:34" s="14" customFormat="1" ht="10.5" x14ac:dyDescent="0.2">
      <c r="A51" s="120" t="s">
        <v>44</v>
      </c>
      <c r="B51" s="122">
        <f>B44</f>
        <v>2022</v>
      </c>
      <c r="C51" s="122">
        <f>C44</f>
        <v>2023</v>
      </c>
      <c r="D51" s="122">
        <f>D44</f>
        <v>2024</v>
      </c>
      <c r="E51" s="122">
        <f>E44</f>
        <v>2025</v>
      </c>
      <c r="F51" s="111" t="s">
        <v>35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</row>
    <row r="52" spans="1:34" s="14" customFormat="1" ht="10.5" x14ac:dyDescent="0.2">
      <c r="A52" s="121"/>
      <c r="B52" s="123"/>
      <c r="C52" s="123"/>
      <c r="D52" s="123"/>
      <c r="E52" s="123"/>
      <c r="F52" s="112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1:34" s="60" customFormat="1" ht="15" customHeight="1" x14ac:dyDescent="0.2">
      <c r="A53" s="55" t="s">
        <v>45</v>
      </c>
      <c r="B53" s="56">
        <f>B54+B55+B56+B57</f>
        <v>814484.82930385577</v>
      </c>
      <c r="C53" s="56">
        <f>C54+C55+C56+C57</f>
        <v>1778834.8671996216</v>
      </c>
      <c r="D53" s="56">
        <f>D54+D55+D56+D57</f>
        <v>1849988.2618876062</v>
      </c>
      <c r="E53" s="56">
        <f>E54+E55+E56+E57</f>
        <v>4764160.2477562726</v>
      </c>
      <c r="F53" s="57">
        <f>SUM(B53:E53)</f>
        <v>9207468.206147356</v>
      </c>
      <c r="G53" s="58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</row>
    <row r="54" spans="1:34" s="60" customFormat="1" ht="10.5" x14ac:dyDescent="0.2">
      <c r="A54" s="61" t="s">
        <v>46</v>
      </c>
      <c r="B54" s="62">
        <v>770353.38555000001</v>
      </c>
      <c r="C54" s="62">
        <v>1682451.7940412005</v>
      </c>
      <c r="D54" s="62">
        <v>1749749.8658028482</v>
      </c>
      <c r="E54" s="62">
        <v>4506022.5115532391</v>
      </c>
      <c r="F54" s="57">
        <f>SUM(B54:E54)</f>
        <v>8708577.5569472872</v>
      </c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</row>
    <row r="55" spans="1:34" s="63" customFormat="1" ht="21" x14ac:dyDescent="0.2">
      <c r="A55" s="64" t="s">
        <v>47</v>
      </c>
      <c r="B55" s="65">
        <v>33155.401336432536</v>
      </c>
      <c r="C55" s="65">
        <v>72411.396518768655</v>
      </c>
      <c r="D55" s="65">
        <v>75307.852379519405</v>
      </c>
      <c r="E55" s="65">
        <v>193935.65031830521</v>
      </c>
      <c r="F55" s="39">
        <f>SUM(B55:E55)</f>
        <v>374810.30055302579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1:34" s="63" customFormat="1" ht="21.75" customHeight="1" x14ac:dyDescent="0.2">
      <c r="A56" s="64" t="s">
        <v>48</v>
      </c>
      <c r="B56" s="65">
        <v>10006.300123335341</v>
      </c>
      <c r="C56" s="65">
        <v>21853.75946936438</v>
      </c>
      <c r="D56" s="65">
        <v>22727.909848138959</v>
      </c>
      <c r="E56" s="65">
        <v>58529.779266064514</v>
      </c>
      <c r="F56" s="39">
        <f>SUM(B56:E56)</f>
        <v>113117.74870690319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</row>
    <row r="57" spans="1:34" s="63" customFormat="1" ht="21" x14ac:dyDescent="0.2">
      <c r="A57" s="64" t="s">
        <v>49</v>
      </c>
      <c r="B57" s="65">
        <v>969.74229408792326</v>
      </c>
      <c r="C57" s="65">
        <v>2117.9171702880244</v>
      </c>
      <c r="D57" s="65">
        <v>2202.6338570995458</v>
      </c>
      <c r="E57" s="65">
        <v>5672.3066186639735</v>
      </c>
      <c r="F57" s="39">
        <f>SUM(B57:E57)</f>
        <v>10962.599940139467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</row>
    <row r="58" spans="1:34" s="14" customFormat="1" ht="10.5" x14ac:dyDescent="0.2">
      <c r="A58" s="25" t="s">
        <v>50</v>
      </c>
      <c r="B58" s="45"/>
      <c r="C58" s="62"/>
      <c r="D58" s="62"/>
      <c r="E58" s="62"/>
      <c r="F58" s="66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</row>
    <row r="59" spans="1:34" s="14" customFormat="1" ht="10.5" x14ac:dyDescent="0.2">
      <c r="A59" s="25" t="s">
        <v>51</v>
      </c>
      <c r="B59" s="45"/>
      <c r="C59" s="62"/>
      <c r="D59" s="62"/>
      <c r="E59" s="62"/>
      <c r="F59" s="6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</row>
    <row r="60" spans="1:34" s="14" customFormat="1" ht="9.75" customHeight="1" x14ac:dyDescent="0.2">
      <c r="A60" s="25" t="s">
        <v>21</v>
      </c>
      <c r="B60" s="65"/>
      <c r="C60" s="65"/>
      <c r="D60" s="65"/>
      <c r="E60" s="65"/>
      <c r="F60" s="66"/>
      <c r="G60" s="58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</row>
    <row r="61" spans="1:34" s="14" customFormat="1" ht="9.1999999999999993" customHeight="1" x14ac:dyDescent="0.2">
      <c r="A61" s="25" t="s">
        <v>52</v>
      </c>
      <c r="B61" s="65"/>
      <c r="C61" s="62"/>
      <c r="D61" s="62"/>
      <c r="E61" s="62"/>
      <c r="F61" s="66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</row>
    <row r="62" spans="1:34" s="60" customFormat="1" ht="22.5" customHeight="1" x14ac:dyDescent="0.2">
      <c r="A62" s="67" t="s">
        <v>53</v>
      </c>
      <c r="B62" s="68">
        <f>B53-B60</f>
        <v>814484.82930385577</v>
      </c>
      <c r="C62" s="68">
        <f>C53-C60</f>
        <v>1778834.8671996216</v>
      </c>
      <c r="D62" s="68">
        <f>D53-D60</f>
        <v>1849988.2618876062</v>
      </c>
      <c r="E62" s="68">
        <f>E53-E60</f>
        <v>4764160.2477562726</v>
      </c>
      <c r="F62" s="69">
        <f>SUM(B62:E62)</f>
        <v>9207468.206147356</v>
      </c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</row>
    <row r="63" spans="1:34" s="14" customFormat="1" ht="9.1999999999999993" customHeight="1" x14ac:dyDescent="0.2">
      <c r="A63" s="25" t="s">
        <v>54</v>
      </c>
      <c r="B63" s="65">
        <f>B15*B18/B17/12*5</f>
        <v>1065380.9252949075</v>
      </c>
      <c r="C63" s="62">
        <f>B15*B18/B17/12*12</f>
        <v>2556914.2207077779</v>
      </c>
      <c r="D63" s="62">
        <f>B15*B18/B17/12*12</f>
        <v>2556914.2207077779</v>
      </c>
      <c r="E63" s="62">
        <f>B15*B18/B17/12*7</f>
        <v>1491533.2954128706</v>
      </c>
      <c r="F63" s="66">
        <f>E63+D63+C63+B63</f>
        <v>7670742.6621233337</v>
      </c>
      <c r="G63" s="58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</row>
    <row r="64" spans="1:34" s="60" customFormat="1" ht="8.4499999999999993" customHeight="1" x14ac:dyDescent="0.2">
      <c r="A64" s="70" t="s">
        <v>55</v>
      </c>
      <c r="B64" s="124">
        <f>B62-B63</f>
        <v>-250896.09599105176</v>
      </c>
      <c r="C64" s="126">
        <f>C62-C63</f>
        <v>-778079.35350815626</v>
      </c>
      <c r="D64" s="126">
        <f>D62-D63</f>
        <v>-706925.95882017165</v>
      </c>
      <c r="E64" s="126">
        <f>E62-E63</f>
        <v>3272626.952343402</v>
      </c>
      <c r="F64" s="118">
        <f>SUM(B64:E65)</f>
        <v>1536725.5440240223</v>
      </c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</row>
    <row r="65" spans="1:34" s="60" customFormat="1" ht="8.4499999999999993" customHeight="1" x14ac:dyDescent="0.2">
      <c r="A65" s="71" t="s">
        <v>56</v>
      </c>
      <c r="B65" s="125"/>
      <c r="C65" s="127"/>
      <c r="D65" s="127"/>
      <c r="E65" s="127"/>
      <c r="F65" s="119">
        <f>SUM(B65:E65)</f>
        <v>0</v>
      </c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</row>
    <row r="66" spans="1:34" s="14" customFormat="1" ht="9.1999999999999993" customHeight="1" x14ac:dyDescent="0.2">
      <c r="A66" s="25" t="s">
        <v>57</v>
      </c>
      <c r="B66" s="45"/>
      <c r="C66" s="62"/>
      <c r="D66" s="62"/>
      <c r="E66" s="62"/>
      <c r="F66" s="66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</row>
    <row r="67" spans="1:34" s="60" customFormat="1" ht="9.1999999999999993" customHeight="1" x14ac:dyDescent="0.2">
      <c r="A67" s="72" t="s">
        <v>58</v>
      </c>
      <c r="B67" s="73">
        <f>B64-B66</f>
        <v>-250896.09599105176</v>
      </c>
      <c r="C67" s="56">
        <f>C64-C66</f>
        <v>-778079.35350815626</v>
      </c>
      <c r="D67" s="56">
        <f>D64-D66</f>
        <v>-706925.95882017165</v>
      </c>
      <c r="E67" s="56">
        <f>E64-E66</f>
        <v>3272626.952343402</v>
      </c>
      <c r="F67" s="74">
        <f>SUM(B67:E67)</f>
        <v>1536725.5440240223</v>
      </c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</row>
    <row r="68" spans="1:34" s="14" customFormat="1" ht="9.1999999999999993" customHeight="1" x14ac:dyDescent="0.2">
      <c r="A68" s="25" t="s">
        <v>24</v>
      </c>
      <c r="B68" s="62">
        <f>IF(B67&lt;0,0,B67*0.2)</f>
        <v>0</v>
      </c>
      <c r="C68" s="62">
        <f>IF(C67&lt;0,0,C67*0.2)</f>
        <v>0</v>
      </c>
      <c r="D68" s="62">
        <f>IF(D67&lt;0,0,D67*0.2)</f>
        <v>0</v>
      </c>
      <c r="E68" s="62">
        <f>IF(E67&lt;0,0,E67*0.2)+0.2*(B67+C67+D67)</f>
        <v>307345.10880480445</v>
      </c>
      <c r="F68" s="75">
        <f>SUM(B68:E68)</f>
        <v>307345.10880480445</v>
      </c>
      <c r="G68" s="76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</row>
    <row r="69" spans="1:34" s="60" customFormat="1" ht="11.25" thickBot="1" x14ac:dyDescent="0.25">
      <c r="A69" s="77" t="s">
        <v>59</v>
      </c>
      <c r="B69" s="78">
        <f>B67-B68</f>
        <v>-250896.09599105176</v>
      </c>
      <c r="C69" s="79">
        <f>C67-C68</f>
        <v>-778079.35350815626</v>
      </c>
      <c r="D69" s="79">
        <f>D67-D68</f>
        <v>-706925.95882017165</v>
      </c>
      <c r="E69" s="79">
        <f>E67-E68</f>
        <v>2965281.8435385977</v>
      </c>
      <c r="F69" s="80">
        <f>SUM(B69:E69)</f>
        <v>1229380.435219218</v>
      </c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</row>
    <row r="70" spans="1:34" s="18" customFormat="1" ht="3" customHeight="1" thickBot="1" x14ac:dyDescent="0.25">
      <c r="A70" s="54"/>
      <c r="B70" s="54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</row>
    <row r="71" spans="1:34" s="82" customFormat="1" ht="10.5" x14ac:dyDescent="0.2">
      <c r="A71" s="120" t="s">
        <v>60</v>
      </c>
      <c r="B71" s="122">
        <f>B51</f>
        <v>2022</v>
      </c>
      <c r="C71" s="122">
        <f>C51</f>
        <v>2023</v>
      </c>
      <c r="D71" s="122">
        <f>D51</f>
        <v>2024</v>
      </c>
      <c r="E71" s="122">
        <f>E51</f>
        <v>2025</v>
      </c>
      <c r="F71" s="111" t="s">
        <v>35</v>
      </c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</row>
    <row r="72" spans="1:34" s="82" customFormat="1" ht="10.5" x14ac:dyDescent="0.2">
      <c r="A72" s="121"/>
      <c r="B72" s="123"/>
      <c r="C72" s="123"/>
      <c r="D72" s="123"/>
      <c r="E72" s="123"/>
      <c r="F72" s="112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</row>
    <row r="73" spans="1:34" s="84" customFormat="1" ht="4.5" customHeight="1" x14ac:dyDescent="0.2">
      <c r="A73" s="113" t="s">
        <v>61</v>
      </c>
      <c r="B73" s="115">
        <f>B64</f>
        <v>-250896.09599105176</v>
      </c>
      <c r="C73" s="115">
        <f>C64</f>
        <v>-778079.35350815626</v>
      </c>
      <c r="D73" s="115">
        <f>D64</f>
        <v>-706925.95882017165</v>
      </c>
      <c r="E73" s="115">
        <f>E64</f>
        <v>3272626.952343402</v>
      </c>
      <c r="F73" s="118">
        <f>SUM(B73:E74)</f>
        <v>1536725.5440240223</v>
      </c>
      <c r="G73" s="83"/>
      <c r="H73" s="83"/>
      <c r="I73" s="83"/>
      <c r="J73" s="83"/>
      <c r="K73" s="83"/>
      <c r="L73" s="81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</row>
    <row r="74" spans="1:34" s="84" customFormat="1" ht="10.5" x14ac:dyDescent="0.2">
      <c r="A74" s="114"/>
      <c r="B74" s="116"/>
      <c r="C74" s="117"/>
      <c r="D74" s="117"/>
      <c r="E74" s="117"/>
      <c r="F74" s="119">
        <f>B74+C74+D74+E74</f>
        <v>0</v>
      </c>
      <c r="G74" s="83"/>
      <c r="H74" s="83"/>
      <c r="I74" s="83"/>
      <c r="J74" s="83"/>
      <c r="K74" s="83"/>
      <c r="L74" s="81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</row>
    <row r="75" spans="1:34" s="82" customFormat="1" ht="9.1999999999999993" customHeight="1" x14ac:dyDescent="0.2">
      <c r="A75" s="25" t="s">
        <v>54</v>
      </c>
      <c r="B75" s="85">
        <f>B63</f>
        <v>1065380.9252949075</v>
      </c>
      <c r="C75" s="86">
        <f>C63</f>
        <v>2556914.2207077779</v>
      </c>
      <c r="D75" s="86">
        <f>D63</f>
        <v>2556914.2207077779</v>
      </c>
      <c r="E75" s="86">
        <f>E63</f>
        <v>1491533.2954128706</v>
      </c>
      <c r="F75" s="66">
        <f>B75+C75+D75+E75</f>
        <v>7670742.6621233337</v>
      </c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</row>
    <row r="76" spans="1:34" s="82" customFormat="1" ht="9.1999999999999993" customHeight="1" x14ac:dyDescent="0.2">
      <c r="A76" s="25" t="s">
        <v>57</v>
      </c>
      <c r="B76" s="85"/>
      <c r="C76" s="87"/>
      <c r="D76" s="87"/>
      <c r="E76" s="87"/>
      <c r="F76" s="66">
        <f>B76+C76+D76+E76</f>
        <v>0</v>
      </c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</row>
    <row r="77" spans="1:34" s="82" customFormat="1" ht="9.1999999999999993" customHeight="1" x14ac:dyDescent="0.2">
      <c r="A77" s="25" t="s">
        <v>24</v>
      </c>
      <c r="B77" s="85">
        <f>B68</f>
        <v>0</v>
      </c>
      <c r="C77" s="86">
        <f>C68</f>
        <v>0</v>
      </c>
      <c r="D77" s="86">
        <f>D68</f>
        <v>0</v>
      </c>
      <c r="E77" s="86">
        <f>E68</f>
        <v>307345.10880480445</v>
      </c>
      <c r="F77" s="66">
        <f>SUM(B77:E77)</f>
        <v>307345.10880480445</v>
      </c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</row>
    <row r="78" spans="1:34" s="82" customFormat="1" ht="9.1999999999999993" customHeight="1" x14ac:dyDescent="0.2">
      <c r="A78" s="25" t="s">
        <v>62</v>
      </c>
      <c r="B78" s="85">
        <f>(B53-B80)*0.2</f>
        <v>-1371251.5665638957</v>
      </c>
      <c r="C78" s="85">
        <f>(C53-C80)*0.2</f>
        <v>355766.97343992436</v>
      </c>
      <c r="D78" s="85">
        <f>(D53-D80)*0.2</f>
        <v>369997.65237752127</v>
      </c>
      <c r="E78" s="85">
        <f>(E53-E80)*0.2</f>
        <v>952832.0495512546</v>
      </c>
      <c r="F78" s="66">
        <f>SUM(B78:E78)</f>
        <v>307345.10880480462</v>
      </c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</row>
    <row r="79" spans="1:34" s="82" customFormat="1" ht="9.1999999999999993" customHeight="1" x14ac:dyDescent="0.2">
      <c r="A79" s="25" t="s">
        <v>63</v>
      </c>
      <c r="B79" s="85"/>
      <c r="C79" s="87"/>
      <c r="D79" s="87"/>
      <c r="E79" s="87"/>
      <c r="F79" s="66">
        <f>B79+C79+D79+E79</f>
        <v>0</v>
      </c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</row>
    <row r="80" spans="1:34" s="82" customFormat="1" ht="10.5" x14ac:dyDescent="0.2">
      <c r="A80" s="25" t="s">
        <v>64</v>
      </c>
      <c r="B80" s="85">
        <f>B15*B18</f>
        <v>7670742.6621233337</v>
      </c>
      <c r="C80" s="87"/>
      <c r="D80" s="87"/>
      <c r="E80" s="87"/>
      <c r="F80" s="66">
        <f>B80+C80+D80+E80</f>
        <v>7670742.6621233337</v>
      </c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</row>
    <row r="81" spans="1:34" s="82" customFormat="1" ht="10.5" x14ac:dyDescent="0.2">
      <c r="A81" s="25" t="s">
        <v>65</v>
      </c>
      <c r="B81" s="85"/>
      <c r="C81" s="87"/>
      <c r="D81" s="87"/>
      <c r="E81" s="87"/>
      <c r="F81" s="66">
        <f>B81+C81+D81+E81</f>
        <v>0</v>
      </c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</row>
    <row r="82" spans="1:34" s="84" customFormat="1" ht="10.5" x14ac:dyDescent="0.2">
      <c r="A82" s="72" t="s">
        <v>66</v>
      </c>
      <c r="B82" s="88">
        <f>B73+B75-B76-B77-B80-B78</f>
        <v>-5485006.2662555818</v>
      </c>
      <c r="C82" s="88">
        <f>C73+C75-C76-C77-C80-C78</f>
        <v>1423067.8937596972</v>
      </c>
      <c r="D82" s="88">
        <f>D73+D75-D76-D77-D80-D78</f>
        <v>1479990.6095100851</v>
      </c>
      <c r="E82" s="88">
        <f>E73+E75-E76-E77-E80-E78</f>
        <v>3503983.0894002137</v>
      </c>
      <c r="F82" s="74">
        <f>SUM(B82:E82)</f>
        <v>922035.32641441422</v>
      </c>
      <c r="G82" s="83"/>
      <c r="H82" s="83"/>
      <c r="I82" s="83"/>
      <c r="J82" s="83"/>
      <c r="K82" s="83"/>
      <c r="L82" s="81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</row>
    <row r="83" spans="1:34" s="84" customFormat="1" ht="10.5" x14ac:dyDescent="0.2">
      <c r="A83" s="72" t="s">
        <v>67</v>
      </c>
      <c r="B83" s="88">
        <f>B82</f>
        <v>-5485006.2662555818</v>
      </c>
      <c r="C83" s="89">
        <f>B83+C82</f>
        <v>-4061938.3724958845</v>
      </c>
      <c r="D83" s="89">
        <f>C83+D82</f>
        <v>-2581947.7629857995</v>
      </c>
      <c r="E83" s="89">
        <f>D83+E82</f>
        <v>922035.32641441422</v>
      </c>
      <c r="F83" s="74">
        <f>E83</f>
        <v>922035.32641441422</v>
      </c>
      <c r="G83" s="83"/>
      <c r="H83" s="83"/>
      <c r="I83" s="83"/>
      <c r="J83" s="83"/>
      <c r="K83" s="83"/>
      <c r="L83" s="81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</row>
    <row r="84" spans="1:34" s="82" customFormat="1" ht="9.1999999999999993" customHeight="1" x14ac:dyDescent="0.2">
      <c r="A84" s="25" t="s">
        <v>68</v>
      </c>
      <c r="B84" s="90">
        <v>1</v>
      </c>
      <c r="C84" s="91">
        <v>1.04</v>
      </c>
      <c r="D84" s="91">
        <f>C84</f>
        <v>1.04</v>
      </c>
      <c r="E84" s="91">
        <f>D84</f>
        <v>1.04</v>
      </c>
      <c r="F84" s="66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</row>
    <row r="85" spans="1:34" s="84" customFormat="1" ht="13.5" customHeight="1" x14ac:dyDescent="0.2">
      <c r="A85" s="92" t="s">
        <v>69</v>
      </c>
      <c r="B85" s="93">
        <f>B83*B84</f>
        <v>-5485006.2662555818</v>
      </c>
      <c r="C85" s="93">
        <f>B85+C82/(C84)^1</f>
        <v>-4116671.7530251038</v>
      </c>
      <c r="D85" s="93">
        <f>C85+D82/(D84)^2</f>
        <v>-2748337.2397946259</v>
      </c>
      <c r="E85" s="93">
        <f>D85+E82/(E84)^3</f>
        <v>366690.96752662677</v>
      </c>
      <c r="F85" s="69">
        <f>E85</f>
        <v>366690.96752662677</v>
      </c>
      <c r="G85" s="83"/>
      <c r="H85" s="83"/>
      <c r="I85" s="83"/>
      <c r="J85" s="83"/>
      <c r="K85" s="83"/>
      <c r="L85" s="81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</row>
    <row r="86" spans="1:34" s="84" customFormat="1" ht="9.1999999999999993" customHeight="1" x14ac:dyDescent="0.2">
      <c r="A86" s="72" t="s">
        <v>70</v>
      </c>
      <c r="B86" s="56"/>
      <c r="C86" s="89"/>
      <c r="D86" s="89"/>
      <c r="E86" s="89"/>
      <c r="F86" s="74">
        <f>B85+NPV(0.04,C82:E82)</f>
        <v>366690.96752662677</v>
      </c>
      <c r="G86" s="83"/>
      <c r="H86" s="83"/>
      <c r="I86" s="83"/>
      <c r="J86" s="83"/>
      <c r="K86" s="83"/>
      <c r="L86" s="81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</row>
    <row r="87" spans="1:34" s="84" customFormat="1" ht="9.1999999999999993" customHeight="1" x14ac:dyDescent="0.2">
      <c r="A87" s="72" t="s">
        <v>71</v>
      </c>
      <c r="B87" s="94"/>
      <c r="C87" s="95"/>
      <c r="D87" s="95"/>
      <c r="E87" s="95"/>
      <c r="F87" s="96">
        <f>IRR(B82:E82)</f>
        <v>6.9823559945416447E-2</v>
      </c>
      <c r="G87" s="83"/>
      <c r="H87" s="83"/>
      <c r="I87" s="83"/>
      <c r="J87" s="83"/>
      <c r="K87" s="83"/>
      <c r="L87" s="81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</row>
    <row r="88" spans="1:34" s="84" customFormat="1" ht="14.25" customHeight="1" x14ac:dyDescent="0.2">
      <c r="A88" s="72" t="s">
        <v>72</v>
      </c>
      <c r="B88" s="97">
        <f>6/12</f>
        <v>0.5</v>
      </c>
      <c r="C88" s="98">
        <f>IF(B83*C83&gt;0,IF(C83&lt;0,1,0),B83/(B83-C83))</f>
        <v>1</v>
      </c>
      <c r="D88" s="98">
        <f>IF(C83*D83&gt;0,IF(D83&lt;0,1,0),C83/(C83-D83))</f>
        <v>1</v>
      </c>
      <c r="E88" s="98">
        <f>IF(D83*E83&gt;0,IF(E83&lt;0,1,0),D83/(D83-E83))</f>
        <v>0.73686079444742936</v>
      </c>
      <c r="F88" s="99">
        <f>SUM(B88:E88)</f>
        <v>3.2368607944474292</v>
      </c>
      <c r="G88" s="83"/>
      <c r="H88" s="83"/>
      <c r="I88" s="83"/>
      <c r="J88" s="83"/>
      <c r="K88" s="83"/>
      <c r="L88" s="81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</row>
    <row r="89" spans="1:34" s="84" customFormat="1" ht="19.5" customHeight="1" thickBot="1" x14ac:dyDescent="0.25">
      <c r="A89" s="100" t="s">
        <v>73</v>
      </c>
      <c r="B89" s="101">
        <f>6/12</f>
        <v>0.5</v>
      </c>
      <c r="C89" s="102">
        <f>IF(B85*C85&gt;0,IF(C85&lt;0,1,0),B85/(B85-C85))</f>
        <v>1</v>
      </c>
      <c r="D89" s="102">
        <f>IF(C85*D85&gt;0,IF(D85&lt;0,1,0),C85/(C85-D85))</f>
        <v>1</v>
      </c>
      <c r="E89" s="102">
        <f>IF(D85*E85&gt;0,IF(E85&lt;0,1,0),D85/(D85-E85))</f>
        <v>0.88228325937312779</v>
      </c>
      <c r="F89" s="103">
        <f>SUM(B89:E89)</f>
        <v>3.3822832593731276</v>
      </c>
      <c r="G89" s="83"/>
      <c r="H89" s="83"/>
      <c r="I89" s="83"/>
      <c r="J89" s="83"/>
      <c r="K89" s="83"/>
      <c r="L89" s="81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</row>
    <row r="90" spans="1:34" s="18" customFormat="1" ht="2.1" customHeight="1" x14ac:dyDescent="0.2">
      <c r="G90" s="20"/>
      <c r="H90" s="20"/>
      <c r="I90" s="20"/>
      <c r="J90" s="20"/>
      <c r="K90" s="20"/>
      <c r="L90" s="81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</row>
    <row r="91" spans="1:34" s="10" customFormat="1" ht="8.4499999999999993" customHeight="1" x14ac:dyDescent="0.15">
      <c r="A91" s="10" t="s">
        <v>74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</row>
    <row r="92" spans="1:34" s="104" customFormat="1" ht="8.1" customHeight="1" x14ac:dyDescent="0.15">
      <c r="A92" s="104" t="s">
        <v>75</v>
      </c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5"/>
    </row>
    <row r="93" spans="1:34" s="104" customFormat="1" ht="8.1" customHeight="1" x14ac:dyDescent="0.15">
      <c r="A93" s="104" t="s">
        <v>76</v>
      </c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05"/>
      <c r="AH93" s="105"/>
    </row>
    <row r="94" spans="1:34" s="104" customFormat="1" ht="8.1" customHeight="1" x14ac:dyDescent="0.15">
      <c r="A94" s="104" t="s">
        <v>77</v>
      </c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</row>
    <row r="95" spans="1:34" s="10" customFormat="1" ht="8.4499999999999993" customHeight="1" x14ac:dyDescent="0.15">
      <c r="A95" s="10" t="s">
        <v>78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</row>
    <row r="99" spans="1:6" s="107" customFormat="1" ht="15" x14ac:dyDescent="0.25">
      <c r="A99" s="106" t="s">
        <v>81</v>
      </c>
      <c r="F99" s="110" t="s">
        <v>82</v>
      </c>
    </row>
  </sheetData>
  <mergeCells count="43">
    <mergeCell ref="F38:F39"/>
    <mergeCell ref="E3:G3"/>
    <mergeCell ref="A10:F10"/>
    <mergeCell ref="A13:A14"/>
    <mergeCell ref="B13:B14"/>
    <mergeCell ref="A18:A19"/>
    <mergeCell ref="B18:B19"/>
    <mergeCell ref="D18:D19"/>
    <mergeCell ref="E18:E19"/>
    <mergeCell ref="A38:A39"/>
    <mergeCell ref="B38:B39"/>
    <mergeCell ref="C38:C39"/>
    <mergeCell ref="D38:D39"/>
    <mergeCell ref="E38:E39"/>
    <mergeCell ref="F51:F52"/>
    <mergeCell ref="A44:A45"/>
    <mergeCell ref="B44:B45"/>
    <mergeCell ref="C44:C45"/>
    <mergeCell ref="D44:D45"/>
    <mergeCell ref="E44:E45"/>
    <mergeCell ref="F44:F45"/>
    <mergeCell ref="A51:A52"/>
    <mergeCell ref="B51:B52"/>
    <mergeCell ref="C51:C52"/>
    <mergeCell ref="D51:D52"/>
    <mergeCell ref="E51:E52"/>
    <mergeCell ref="B64:B65"/>
    <mergeCell ref="C64:C65"/>
    <mergeCell ref="D64:D65"/>
    <mergeCell ref="E64:E65"/>
    <mergeCell ref="F64:F65"/>
    <mergeCell ref="F71:F72"/>
    <mergeCell ref="A73:A74"/>
    <mergeCell ref="B73:B74"/>
    <mergeCell ref="C73:C74"/>
    <mergeCell ref="D73:D74"/>
    <mergeCell ref="E73:E74"/>
    <mergeCell ref="F73:F74"/>
    <mergeCell ref="A71:A72"/>
    <mergeCell ref="B71:B72"/>
    <mergeCell ref="C71:C72"/>
    <mergeCell ref="D71:D72"/>
    <mergeCell ref="E71:E72"/>
  </mergeCells>
  <pageMargins left="0.82677165354330717" right="0.23622047244094491" top="0.55118110236220474" bottom="0.55118110236220474" header="0.31496062992125984" footer="0.31496062992125984"/>
  <pageSetup paperSize="8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38" sqref="A38:A39"/>
    </sheetView>
  </sheetViews>
  <sheetFormatPr defaultRowHeight="12.75" x14ac:dyDescent="0.2"/>
  <cols>
    <col min="1" max="1" width="61.7109375" customWidth="1"/>
    <col min="2" max="2" width="25.85546875" customWidth="1"/>
    <col min="3" max="3" width="12.28515625" bestFit="1" customWidth="1"/>
    <col min="4" max="5" width="11.7109375" bestFit="1" customWidth="1"/>
  </cols>
  <sheetData>
    <row r="1" spans="1:6" x14ac:dyDescent="0.2">
      <c r="A1" s="108" t="s">
        <v>67</v>
      </c>
      <c r="B1" s="109">
        <f>'L_3 (2022)'!B83/1000</f>
        <v>-5485.006266255582</v>
      </c>
      <c r="C1" s="109">
        <f>'L_3 (2022)'!C83/1000</f>
        <v>-4061.9383724958843</v>
      </c>
      <c r="D1" s="109">
        <f>'L_3 (2022)'!D83/1000</f>
        <v>-2581.9477629857993</v>
      </c>
      <c r="E1" s="109">
        <f>'L_3 (2022)'!E83/1000</f>
        <v>922.03532641441427</v>
      </c>
    </row>
    <row r="2" spans="1:6" x14ac:dyDescent="0.2">
      <c r="A2" s="108" t="s">
        <v>79</v>
      </c>
      <c r="B2" s="109">
        <f>'L_3 (2022)'!B85/1000</f>
        <v>-5485.006266255582</v>
      </c>
      <c r="C2" s="109">
        <f>'L_3 (2022)'!C85/1000</f>
        <v>-4116.6717530251035</v>
      </c>
      <c r="D2" s="109">
        <f>'L_3 (2022)'!D85/1000</f>
        <v>-2748.3372397946259</v>
      </c>
      <c r="E2" s="109">
        <f>'L_3 (2022)'!E85/1000</f>
        <v>366.69096752662676</v>
      </c>
    </row>
    <row r="4" spans="1:6" x14ac:dyDescent="0.2">
      <c r="A4" t="s">
        <v>34</v>
      </c>
      <c r="B4">
        <v>1</v>
      </c>
      <c r="C4">
        <v>2</v>
      </c>
      <c r="D4">
        <v>3</v>
      </c>
      <c r="E4">
        <v>4</v>
      </c>
      <c r="F4" t="s">
        <v>80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L_3 (2022)</vt:lpstr>
      <vt:lpstr>график</vt:lpstr>
      <vt:lpstr>'L_3 (2022)'!Область_печати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 Александр Александрович</dc:creator>
  <cp:lastModifiedBy>Агафонов Александр Александрович</cp:lastModifiedBy>
  <dcterms:created xsi:type="dcterms:W3CDTF">2021-03-12T01:26:39Z</dcterms:created>
  <dcterms:modified xsi:type="dcterms:W3CDTF">2021-10-22T06:02:00Z</dcterms:modified>
</cp:coreProperties>
</file>