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2\Запрос ДТР_о рассмотрении проекта\L_2 Приобретение оргтехники\"/>
    </mc:Choice>
  </mc:AlternateContent>
  <bookViews>
    <workbookView xWindow="0" yWindow="0" windowWidth="28800" windowHeight="12000"/>
  </bookViews>
  <sheets>
    <sheet name="L_2 (2022)" sheetId="1" r:id="rId1"/>
    <sheet name="график" sheetId="2" r:id="rId2"/>
  </sheets>
  <definedNames>
    <definedName name="_xlnm.Print_Area" localSheetId="0">'L_2 (2022)'!$A$1:$F$101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1" l="1"/>
  <c r="G2" i="2" l="1"/>
  <c r="F2" i="2"/>
  <c r="G1" i="2"/>
  <c r="F1" i="2"/>
  <c r="F83" i="1"/>
  <c r="F81" i="1"/>
  <c r="F78" i="1"/>
  <c r="F76" i="1"/>
  <c r="B44" i="1"/>
  <c r="B51" i="1" s="1"/>
  <c r="B73" i="1" s="1"/>
  <c r="C38" i="1"/>
  <c r="C44" i="1" s="1"/>
  <c r="C51" i="1" s="1"/>
  <c r="C73" i="1" s="1"/>
  <c r="B17" i="1"/>
  <c r="B65" i="1" s="1"/>
  <c r="C65" i="1" l="1"/>
  <c r="C77" i="1" s="1"/>
  <c r="D65" i="1"/>
  <c r="D77" i="1" s="1"/>
  <c r="D38" i="1"/>
  <c r="D44" i="1" s="1"/>
  <c r="D51" i="1" s="1"/>
  <c r="D73" i="1" s="1"/>
  <c r="B53" i="1"/>
  <c r="E65" i="1"/>
  <c r="E77" i="1" s="1"/>
  <c r="B82" i="1"/>
  <c r="F82" i="1" s="1"/>
  <c r="E38" i="1" l="1"/>
  <c r="E44" i="1" s="1"/>
  <c r="E51" i="1" s="1"/>
  <c r="E73" i="1" s="1"/>
  <c r="F65" i="1"/>
  <c r="B77" i="1"/>
  <c r="F77" i="1" s="1"/>
  <c r="B57" i="1"/>
  <c r="B63" i="1" l="1"/>
  <c r="B66" i="1" s="1"/>
  <c r="C53" i="1"/>
  <c r="D53" i="1"/>
  <c r="F54" i="1" l="1"/>
  <c r="F58" i="1"/>
  <c r="F53" i="1"/>
  <c r="B80" i="1"/>
  <c r="B75" i="1" l="1"/>
  <c r="B69" i="1"/>
  <c r="B70" i="1" l="1"/>
  <c r="B71" i="1" s="1"/>
  <c r="F59" i="1"/>
  <c r="C57" i="1"/>
  <c r="D57" i="1" l="1"/>
  <c r="D63" i="1" s="1"/>
  <c r="D80" i="1" s="1"/>
  <c r="C63" i="1"/>
  <c r="B79" i="1"/>
  <c r="F60" i="1"/>
  <c r="D66" i="1" l="1"/>
  <c r="D75" i="1" s="1"/>
  <c r="E57" i="1"/>
  <c r="E63" i="1" s="1"/>
  <c r="E66" i="1" s="1"/>
  <c r="F61" i="1"/>
  <c r="B84" i="1"/>
  <c r="C66" i="1"/>
  <c r="C80" i="1"/>
  <c r="D69" i="1" l="1"/>
  <c r="D70" i="1" s="1"/>
  <c r="D79" i="1" s="1"/>
  <c r="D84" i="1" s="1"/>
  <c r="F57" i="1"/>
  <c r="E80" i="1"/>
  <c r="F80" i="1" s="1"/>
  <c r="F63" i="1"/>
  <c r="B85" i="1"/>
  <c r="B87" i="1" s="1"/>
  <c r="E69" i="1"/>
  <c r="E75" i="1"/>
  <c r="C69" i="1"/>
  <c r="C75" i="1"/>
  <c r="F66" i="1"/>
  <c r="D71" i="1" l="1"/>
  <c r="E70" i="1"/>
  <c r="E79" i="1" s="1"/>
  <c r="E84" i="1" s="1"/>
  <c r="F75" i="1"/>
  <c r="C70" i="1"/>
  <c r="F69" i="1"/>
  <c r="B1" i="2"/>
  <c r="C79" i="1" l="1"/>
  <c r="C84" i="1" s="1"/>
  <c r="F88" i="1" s="1"/>
  <c r="F70" i="1"/>
  <c r="E71" i="1"/>
  <c r="B2" i="2"/>
  <c r="C71" i="1"/>
  <c r="C85" i="1" l="1"/>
  <c r="D85" i="1" s="1"/>
  <c r="E85" i="1" s="1"/>
  <c r="F71" i="1"/>
  <c r="F79" i="1"/>
  <c r="F84" i="1" l="1"/>
  <c r="F89" i="1"/>
  <c r="C87" i="1"/>
  <c r="C2" i="2" l="1"/>
  <c r="D87" i="1"/>
  <c r="E87" i="1" s="1"/>
  <c r="F87" i="1" s="1"/>
  <c r="C91" i="1"/>
  <c r="C1" i="2"/>
  <c r="C90" i="1"/>
  <c r="D2" i="2" l="1"/>
  <c r="D1" i="2"/>
  <c r="D91" i="1"/>
  <c r="D90" i="1"/>
  <c r="E91" i="1" l="1"/>
  <c r="F91" i="1" s="1"/>
  <c r="E17" i="1" s="1"/>
  <c r="E1" i="2"/>
  <c r="F85" i="1"/>
  <c r="E90" i="1"/>
  <c r="F90" i="1" s="1"/>
  <c r="E16" i="1" s="1"/>
  <c r="E2" i="2"/>
</calcChain>
</file>

<file path=xl/sharedStrings.xml><?xml version="1.0" encoding="utf-8"?>
<sst xmlns="http://schemas.openxmlformats.org/spreadsheetml/2006/main" count="96" uniqueCount="86">
  <si>
    <t>УТВЕРЖДАЮ
Генеральный директор 
АО "Томскэнергосбыт"</t>
  </si>
  <si>
    <t>__________________________/А.В. Кодин</t>
  </si>
  <si>
    <t xml:space="preserve">(подпись)                            </t>
  </si>
  <si>
    <t xml:space="preserve"> </t>
  </si>
  <si>
    <t>М. П.</t>
  </si>
  <si>
    <t>Исходные данные</t>
  </si>
  <si>
    <t>Значение</t>
  </si>
  <si>
    <t>Общая стоимость объекта, руб. без НДС</t>
  </si>
  <si>
    <t>Собственный капитал</t>
  </si>
  <si>
    <t>Прочие расходы, руб. без НДС на объект</t>
  </si>
  <si>
    <t>Простой период окупаемости, лет</t>
  </si>
  <si>
    <t>Срок амортизации, лет</t>
  </si>
  <si>
    <t>Дисконтированный период окупаемости, лет</t>
  </si>
  <si>
    <t>Кол-во объектов, ед.</t>
  </si>
  <si>
    <t>Чистая приведенная стоимость (NPV) через 10 лет после ввода объекта в эксплуатацию, руб.</t>
  </si>
  <si>
    <t>-</t>
  </si>
  <si>
    <t>Затраты на ремонт объекта, руб. без НДС</t>
  </si>
  <si>
    <t>Целесообразность реализации проекта</t>
  </si>
  <si>
    <t>да</t>
  </si>
  <si>
    <t>Первый ремонт объекта, лет после постройки</t>
  </si>
  <si>
    <t>Периодичность ремонта объекта, лет</t>
  </si>
  <si>
    <t>Прочие расходы при эксплуатации объекта, руб. без НДС</t>
  </si>
  <si>
    <t>Возникновение прочих расходов, лет после постройки</t>
  </si>
  <si>
    <t>Периодичность расходов, лет</t>
  </si>
  <si>
    <t>Налог на прибыль</t>
  </si>
  <si>
    <t>Прочие расходы, руб. без НДС в месяц</t>
  </si>
  <si>
    <t>Рабочий капитал в % от выручки</t>
  </si>
  <si>
    <t>Срок кредита</t>
  </si>
  <si>
    <t>Ставка по кредиту</t>
  </si>
  <si>
    <t>Ставка по кредиту без учета субсидирования</t>
  </si>
  <si>
    <t>Доля заемных средств</t>
  </si>
  <si>
    <t>Ставка дисконтирования на собственный капитал</t>
  </si>
  <si>
    <t>Доля собственных средств</t>
  </si>
  <si>
    <t>Средневзвешенная стоимость капитала (WACC)</t>
  </si>
  <si>
    <t>Период</t>
  </si>
  <si>
    <t>Итого</t>
  </si>
  <si>
    <t>Прогноз инфляции</t>
  </si>
  <si>
    <t>Кумулятивная инфляция</t>
  </si>
  <si>
    <t>Доход, руб. без НДС</t>
  </si>
  <si>
    <t>Кредит, руб.</t>
  </si>
  <si>
    <t>Основной долг на начало периода</t>
  </si>
  <si>
    <t>Поступление кредита</t>
  </si>
  <si>
    <t>Погашение основного долга</t>
  </si>
  <si>
    <t>Начисление процентов</t>
  </si>
  <si>
    <t>Бюджет доходов и расходов, руб.</t>
  </si>
  <si>
    <t>Доход</t>
  </si>
  <si>
    <t>Экономия на печати документов</t>
  </si>
  <si>
    <t>Операционные расходы</t>
  </si>
  <si>
    <t>Ремонт объекта</t>
  </si>
  <si>
    <t>ФОТ</t>
  </si>
  <si>
    <t>Страховые взносы</t>
  </si>
  <si>
    <t>Расходные материалы и комплектующие</t>
  </si>
  <si>
    <t>Обслуживание печатной техники</t>
  </si>
  <si>
    <t>Налог на имущество (После ввода объекта в эксплуатацию)</t>
  </si>
  <si>
    <t xml:space="preserve">Прибыль до вычета расходов по уплате налога, процентов и </t>
  </si>
  <si>
    <t>начисленной амортизации (EBITDA)</t>
  </si>
  <si>
    <t>Амортизация</t>
  </si>
  <si>
    <t>Прибыль до вычета расходов по уплате налогов и процентов</t>
  </si>
  <si>
    <t>(EBIT)</t>
  </si>
  <si>
    <t>Проценты</t>
  </si>
  <si>
    <t>Прибыль до налогообложения</t>
  </si>
  <si>
    <t>Чистая прибыль</t>
  </si>
  <si>
    <t>Денежный поток на собственный капитал, руб.</t>
  </si>
  <si>
    <t>Прибыль до вычета расходов по уплате налогов и процентов (EBIT)</t>
  </si>
  <si>
    <t>НДС</t>
  </si>
  <si>
    <t>Изменения в рабочем капитале</t>
  </si>
  <si>
    <t>Инвестиции</t>
  </si>
  <si>
    <t>Изменения финансовых обязательств</t>
  </si>
  <si>
    <t>Чистый денежный поток</t>
  </si>
  <si>
    <t>Накопленный чистый денежный поток</t>
  </si>
  <si>
    <t>Коэффициент дисконтирования</t>
  </si>
  <si>
    <t>Дисконтированный денежный поток нарастающим итогом (PV)</t>
  </si>
  <si>
    <t>Чистая приведенная стоимость без учета продажи (NPV)</t>
  </si>
  <si>
    <t>Внутренняя норма доходности (IRR)</t>
  </si>
  <si>
    <t>Срок окупаемости (PBP)</t>
  </si>
  <si>
    <t>Дисконтированный срок окупаемости (DBP)</t>
  </si>
  <si>
    <t>* Форма заполняется:</t>
  </si>
  <si>
    <t>- в отношении вновь создаваемых объектов, для которых могут применяться расчеты экономической эффективности реализации инвестиционных проектов</t>
  </si>
  <si>
    <t>- в отношении реконструированных объектов в том случае, если данный объект после реконструкции "создает" новый финансовый поток</t>
  </si>
  <si>
    <t>- по проектам, общая стоимость реализации которых составляет 500 млн. рублей и более.</t>
  </si>
  <si>
    <t>** Показатели экономической эффективности расчитываются за период от начала реализации проекта до момента истечения 10 лет с даты ввода объекта в эксплуатацию.</t>
  </si>
  <si>
    <t>Дисконтированный денежный поток</t>
  </si>
  <si>
    <t>период</t>
  </si>
  <si>
    <t>Заместитель генерального директора по экономике и финансам</t>
  </si>
  <si>
    <t>О.В. Забарова</t>
  </si>
  <si>
    <t>Финансовая модель по проекту L_2 "Приобретение оргтехники (2022 год)"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</si>
</sst>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8" formatCode="0.000"/>
  </numFmts>
  <fonts count="11" x14ac:knownFonts="1">
    <font>
      <sz val="10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6.5"/>
      <name val="Times New Roman"/>
      <family val="1"/>
      <charset val="204"/>
    </font>
    <font>
      <b/>
      <sz val="6.5"/>
      <name val="Times New Roman"/>
      <family val="1"/>
      <charset val="204"/>
    </font>
    <font>
      <sz val="6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right" vertical="top"/>
    </xf>
    <xf numFmtId="0" fontId="1" fillId="0" borderId="0" xfId="0" applyNumberFormat="1" applyFont="1" applyFill="1" applyAlignment="1">
      <alignment horizontal="right"/>
    </xf>
    <xf numFmtId="0" fontId="2" fillId="0" borderId="0" xfId="0" applyFont="1" applyFill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49" fontId="4" fillId="0" borderId="0" xfId="0" applyNumberFormat="1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/>
    <xf numFmtId="0" fontId="5" fillId="0" borderId="0" xfId="0" applyFont="1" applyFill="1" applyBorder="1"/>
    <xf numFmtId="0" fontId="5" fillId="0" borderId="0" xfId="0" applyFont="1" applyFill="1"/>
    <xf numFmtId="0" fontId="4" fillId="0" borderId="0" xfId="0" applyFont="1" applyFill="1" applyBorder="1"/>
    <xf numFmtId="0" fontId="6" fillId="0" borderId="2" xfId="0" applyFont="1" applyBorder="1" applyAlignment="1">
      <alignment vertical="center"/>
    </xf>
    <xf numFmtId="3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6" fillId="0" borderId="4" xfId="0" applyFont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2" fontId="4" fillId="0" borderId="3" xfId="0" applyNumberFormat="1" applyFont="1" applyFill="1" applyBorder="1"/>
    <xf numFmtId="164" fontId="4" fillId="0" borderId="5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/>
    </xf>
    <xf numFmtId="2" fontId="4" fillId="0" borderId="5" xfId="0" applyNumberFormat="1" applyFont="1" applyFill="1" applyBorder="1"/>
    <xf numFmtId="0" fontId="6" fillId="0" borderId="15" xfId="0" applyFont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/>
    </xf>
    <xf numFmtId="0" fontId="4" fillId="0" borderId="17" xfId="0" applyFont="1" applyFill="1" applyBorder="1" applyAlignment="1">
      <alignment horizontal="center" vertical="center"/>
    </xf>
    <xf numFmtId="0" fontId="6" fillId="0" borderId="13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4" fillId="0" borderId="12" xfId="0" applyFont="1" applyFill="1" applyBorder="1" applyAlignment="1">
      <alignment horizontal="center" vertical="center"/>
    </xf>
    <xf numFmtId="0" fontId="6" fillId="0" borderId="24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/>
    </xf>
    <xf numFmtId="0" fontId="6" fillId="0" borderId="25" xfId="0" applyNumberFormat="1" applyFont="1" applyFill="1" applyBorder="1" applyAlignment="1">
      <alignment horizontal="center" vertical="center"/>
    </xf>
    <xf numFmtId="0" fontId="6" fillId="0" borderId="17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6" fillId="0" borderId="26" xfId="0" applyNumberFormat="1" applyFont="1" applyFill="1" applyBorder="1" applyAlignment="1">
      <alignment horizontal="center" vertical="center"/>
    </xf>
    <xf numFmtId="0" fontId="6" fillId="0" borderId="14" xfId="0" applyNumberFormat="1" applyFont="1" applyFill="1" applyBorder="1" applyAlignment="1">
      <alignment horizontal="center"/>
    </xf>
    <xf numFmtId="0" fontId="6" fillId="0" borderId="5" xfId="0" applyNumberFormat="1" applyFont="1" applyFill="1" applyBorder="1" applyAlignment="1">
      <alignment horizontal="center"/>
    </xf>
    <xf numFmtId="0" fontId="6" fillId="0" borderId="17" xfId="0" applyNumberFormat="1" applyFont="1" applyFill="1" applyBorder="1" applyAlignment="1">
      <alignment horizontal="center"/>
    </xf>
    <xf numFmtId="0" fontId="5" fillId="0" borderId="0" xfId="0" applyFont="1" applyAlignment="1">
      <alignment vertical="center"/>
    </xf>
    <xf numFmtId="0" fontId="7" fillId="0" borderId="13" xfId="0" applyFont="1" applyBorder="1" applyAlignment="1">
      <alignment vertical="center"/>
    </xf>
    <xf numFmtId="4" fontId="7" fillId="0" borderId="27" xfId="0" applyNumberFormat="1" applyFont="1" applyFill="1" applyBorder="1" applyAlignment="1">
      <alignment horizontal="center" vertical="center"/>
    </xf>
    <xf numFmtId="4" fontId="7" fillId="0" borderId="14" xfId="0" applyNumberFormat="1" applyFont="1" applyFill="1" applyBorder="1" applyAlignment="1">
      <alignment horizontal="center"/>
    </xf>
    <xf numFmtId="0" fontId="6" fillId="0" borderId="4" xfId="0" applyFont="1" applyBorder="1" applyAlignment="1">
      <alignment horizontal="left" vertical="center" indent="2"/>
    </xf>
    <xf numFmtId="4" fontId="6" fillId="0" borderId="24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/>
    </xf>
    <xf numFmtId="165" fontId="4" fillId="0" borderId="24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165" fontId="7" fillId="0" borderId="24" xfId="0" applyNumberFormat="1" applyFont="1" applyFill="1" applyBorder="1" applyAlignment="1">
      <alignment horizontal="center" vertical="center"/>
    </xf>
    <xf numFmtId="4" fontId="7" fillId="0" borderId="24" xfId="0" applyNumberFormat="1" applyFont="1" applyFill="1" applyBorder="1" applyAlignment="1">
      <alignment horizontal="center" vertical="center"/>
    </xf>
    <xf numFmtId="4" fontId="7" fillId="0" borderId="5" xfId="0" applyNumberFormat="1" applyFont="1" applyFill="1" applyBorder="1" applyAlignment="1">
      <alignment horizontal="center"/>
    </xf>
    <xf numFmtId="4" fontId="4" fillId="0" borderId="0" xfId="0" applyNumberFormat="1" applyFont="1" applyFill="1"/>
    <xf numFmtId="0" fontId="7" fillId="0" borderId="16" xfId="0" applyFont="1" applyBorder="1" applyAlignment="1">
      <alignment vertical="center"/>
    </xf>
    <xf numFmtId="165" fontId="7" fillId="0" borderId="25" xfId="0" applyNumberFormat="1" applyFont="1" applyFill="1" applyBorder="1" applyAlignment="1">
      <alignment horizontal="center" vertical="center"/>
    </xf>
    <xf numFmtId="4" fontId="7" fillId="0" borderId="25" xfId="0" applyNumberFormat="1" applyFont="1" applyFill="1" applyBorder="1" applyAlignment="1">
      <alignment horizontal="center" vertical="center"/>
    </xf>
    <xf numFmtId="4" fontId="7" fillId="0" borderId="17" xfId="0" applyNumberFormat="1" applyFont="1" applyFill="1" applyBorder="1" applyAlignment="1">
      <alignment horizontal="center"/>
    </xf>
    <xf numFmtId="4" fontId="6" fillId="0" borderId="0" xfId="0" applyNumberFormat="1" applyFont="1" applyFill="1"/>
    <xf numFmtId="0" fontId="6" fillId="0" borderId="0" xfId="0" applyFont="1" applyFill="1"/>
    <xf numFmtId="0" fontId="6" fillId="0" borderId="0" xfId="0" applyFont="1"/>
    <xf numFmtId="0" fontId="7" fillId="0" borderId="0" xfId="0" applyFont="1" applyFill="1"/>
    <xf numFmtId="0" fontId="7" fillId="0" borderId="0" xfId="0" applyFont="1"/>
    <xf numFmtId="165" fontId="6" fillId="0" borderId="24" xfId="0" applyNumberFormat="1" applyFont="1" applyFill="1" applyBorder="1" applyAlignment="1">
      <alignment horizontal="center" vertical="center"/>
    </xf>
    <xf numFmtId="4" fontId="6" fillId="0" borderId="24" xfId="0" applyNumberFormat="1" applyFont="1" applyFill="1" applyBorder="1" applyAlignment="1">
      <alignment horizontal="center"/>
    </xf>
    <xf numFmtId="0" fontId="6" fillId="0" borderId="24" xfId="0" applyNumberFormat="1" applyFont="1" applyFill="1" applyBorder="1" applyAlignment="1">
      <alignment horizontal="center"/>
    </xf>
    <xf numFmtId="4" fontId="7" fillId="0" borderId="27" xfId="0" applyNumberFormat="1" applyFont="1" applyFill="1" applyBorder="1" applyAlignment="1">
      <alignment horizontal="center"/>
    </xf>
    <xf numFmtId="4" fontId="7" fillId="0" borderId="24" xfId="0" applyNumberFormat="1" applyFont="1" applyFill="1" applyBorder="1" applyAlignment="1">
      <alignment horizontal="center"/>
    </xf>
    <xf numFmtId="168" fontId="6" fillId="0" borderId="24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4" fontId="7" fillId="0" borderId="28" xfId="0" applyNumberFormat="1" applyFont="1" applyFill="1" applyBorder="1" applyAlignment="1">
      <alignment horizontal="center"/>
    </xf>
    <xf numFmtId="4" fontId="7" fillId="0" borderId="9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7" fillId="0" borderId="24" xfId="0" applyNumberFormat="1" applyFont="1" applyFill="1" applyBorder="1" applyAlignment="1">
      <alignment horizontal="center" vertical="center"/>
    </xf>
    <xf numFmtId="0" fontId="7" fillId="0" borderId="24" xfId="0" applyNumberFormat="1" applyFont="1" applyFill="1" applyBorder="1" applyAlignment="1">
      <alignment horizontal="center"/>
    </xf>
    <xf numFmtId="164" fontId="7" fillId="0" borderId="24" xfId="0" applyNumberFormat="1" applyFont="1" applyFill="1" applyBorder="1" applyAlignment="1">
      <alignment horizontal="center" vertical="center"/>
    </xf>
    <xf numFmtId="164" fontId="7" fillId="0" borderId="24" xfId="0" applyNumberFormat="1" applyFont="1" applyFill="1" applyBorder="1" applyAlignment="1">
      <alignment horizontal="center"/>
    </xf>
    <xf numFmtId="2" fontId="7" fillId="0" borderId="5" xfId="0" applyNumberFormat="1" applyFont="1" applyFill="1" applyBorder="1" applyAlignment="1">
      <alignment horizontal="center"/>
    </xf>
    <xf numFmtId="0" fontId="7" fillId="0" borderId="18" xfId="0" applyFont="1" applyBorder="1" applyAlignment="1">
      <alignment vertical="center"/>
    </xf>
    <xf numFmtId="164" fontId="7" fillId="0" borderId="25" xfId="0" applyNumberFormat="1" applyFont="1" applyFill="1" applyBorder="1" applyAlignment="1">
      <alignment horizontal="center" vertical="center"/>
    </xf>
    <xf numFmtId="164" fontId="7" fillId="0" borderId="30" xfId="0" applyNumberFormat="1" applyFont="1" applyFill="1" applyBorder="1" applyAlignment="1">
      <alignment horizontal="center"/>
    </xf>
    <xf numFmtId="2" fontId="7" fillId="0" borderId="17" xfId="0" applyNumberFormat="1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Fill="1"/>
    <xf numFmtId="49" fontId="8" fillId="0" borderId="0" xfId="0" applyNumberFormat="1" applyFont="1"/>
    <xf numFmtId="49" fontId="8" fillId="0" borderId="0" xfId="0" applyNumberFormat="1" applyFont="1" applyFill="1"/>
    <xf numFmtId="0" fontId="1" fillId="0" borderId="0" xfId="0" applyFont="1"/>
    <xf numFmtId="0" fontId="9" fillId="0" borderId="0" xfId="0" applyFont="1"/>
    <xf numFmtId="0" fontId="10" fillId="0" borderId="0" xfId="0" applyFont="1"/>
    <xf numFmtId="165" fontId="0" fillId="0" borderId="0" xfId="0" applyNumberFormat="1"/>
    <xf numFmtId="9" fontId="7" fillId="0" borderId="5" xfId="0" applyNumberFormat="1" applyFont="1" applyFill="1" applyBorder="1" applyAlignment="1">
      <alignment horizontal="center"/>
    </xf>
    <xf numFmtId="4" fontId="7" fillId="0" borderId="9" xfId="0" applyNumberFormat="1" applyFont="1" applyFill="1" applyBorder="1" applyAlignment="1">
      <alignment horizontal="center"/>
    </xf>
    <xf numFmtId="4" fontId="7" fillId="0" borderId="14" xfId="0" applyNumberFormat="1" applyFont="1" applyFill="1" applyBorder="1" applyAlignment="1">
      <alignment horizontal="center"/>
    </xf>
    <xf numFmtId="0" fontId="7" fillId="0" borderId="15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1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4" fontId="7" fillId="0" borderId="28" xfId="0" applyNumberFormat="1" applyFont="1" applyFill="1" applyBorder="1" applyAlignment="1">
      <alignment horizontal="center"/>
    </xf>
    <xf numFmtId="4" fontId="7" fillId="0" borderId="23" xfId="0" applyNumberFormat="1" applyFont="1" applyFill="1" applyBorder="1" applyAlignment="1">
      <alignment horizontal="center"/>
    </xf>
    <xf numFmtId="0" fontId="7" fillId="0" borderId="23" xfId="0" applyNumberFormat="1" applyFont="1" applyFill="1" applyBorder="1" applyAlignment="1">
      <alignment horizontal="center"/>
    </xf>
    <xf numFmtId="165" fontId="7" fillId="0" borderId="28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4" fontId="7" fillId="0" borderId="28" xfId="0" applyNumberFormat="1" applyFont="1" applyFill="1" applyBorder="1" applyAlignment="1">
      <alignment horizontal="center" vertical="center"/>
    </xf>
    <xf numFmtId="4" fontId="7" fillId="0" borderId="2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164" fontId="4" fillId="0" borderId="9" xfId="0" applyNumberFormat="1" applyFont="1" applyFill="1" applyBorder="1" applyAlignment="1">
      <alignment horizontal="center" vertical="center"/>
    </xf>
    <xf numFmtId="164" fontId="4" fillId="0" borderId="12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6" fillId="0" borderId="15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33093466056469"/>
          <c:y val="0.13662255162303183"/>
          <c:w val="0.52765572111705217"/>
          <c:h val="0.83534077693087905"/>
        </c:manualLayout>
      </c:layout>
      <c:lineChart>
        <c:grouping val="standard"/>
        <c:varyColors val="0"/>
        <c:ser>
          <c:idx val="0"/>
          <c:order val="0"/>
          <c:tx>
            <c:strRef>
              <c:f>график!$A$1</c:f>
              <c:strCache>
                <c:ptCount val="1"/>
                <c:pt idx="0">
                  <c:v>Накопленный чистый денежный поток</c:v>
                </c:pt>
              </c:strCache>
            </c:strRef>
          </c:tx>
          <c:marker>
            <c:symbol val="none"/>
          </c:marker>
          <c:cat>
            <c:numRef>
              <c:f>график!$B$4:$E$4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график!$B$1:$E$1</c:f>
              <c:numCache>
                <c:formatCode>#\ ##0.0</c:formatCode>
                <c:ptCount val="4"/>
                <c:pt idx="0">
                  <c:v>-9439.3739166252726</c:v>
                </c:pt>
                <c:pt idx="1">
                  <c:v>-3915.9529250435885</c:v>
                </c:pt>
                <c:pt idx="2">
                  <c:v>1791.0261132502501</c:v>
                </c:pt>
                <c:pt idx="3">
                  <c:v>5722.9457178332377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55-4348-BA86-75157145D340}"/>
            </c:ext>
          </c:extLst>
        </c:ser>
        <c:ser>
          <c:idx val="1"/>
          <c:order val="1"/>
          <c:tx>
            <c:strRef>
              <c:f>график!$A$2</c:f>
              <c:strCache>
                <c:ptCount val="1"/>
                <c:pt idx="0">
                  <c:v>Дисконтированный денежный поток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график!$B$4:$E$4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график!$B$2:$E$2</c:f>
              <c:numCache>
                <c:formatCode>#\ ##0.0</c:formatCode>
                <c:ptCount val="4"/>
                <c:pt idx="0">
                  <c:v>-9439.3739166252726</c:v>
                </c:pt>
                <c:pt idx="1">
                  <c:v>-4128.3921939505763</c:v>
                </c:pt>
                <c:pt idx="2">
                  <c:v>1148.0307334660636</c:v>
                </c:pt>
                <c:pt idx="3">
                  <c:v>4643.4929445271227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55-4348-BA86-75157145D3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6194112"/>
        <c:axId val="1"/>
      </c:lineChart>
      <c:catAx>
        <c:axId val="55619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\ ##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56194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6275282454477735"/>
          <c:y val="0.81018724221972249"/>
          <c:w val="0.29680367220070747"/>
          <c:h val="0.15235283089613794"/>
        </c:manualLayout>
      </c:layout>
      <c:overlay val="0"/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33093466056469"/>
          <c:y val="0.13662255162303183"/>
          <c:w val="0.52765572111705217"/>
          <c:h val="0.83534077693087905"/>
        </c:manualLayout>
      </c:layout>
      <c:lineChart>
        <c:grouping val="standard"/>
        <c:varyColors val="0"/>
        <c:ser>
          <c:idx val="0"/>
          <c:order val="0"/>
          <c:tx>
            <c:strRef>
              <c:f>график!$A$1</c:f>
              <c:strCache>
                <c:ptCount val="1"/>
                <c:pt idx="0">
                  <c:v>Накопленный чистый денежный поток</c:v>
                </c:pt>
              </c:strCache>
            </c:strRef>
          </c:tx>
          <c:marker>
            <c:symbol val="none"/>
          </c:marker>
          <c:cat>
            <c:numRef>
              <c:f>график!$B$4:$E$4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график!$B$1:$E$1</c:f>
              <c:numCache>
                <c:formatCode>#\ ##0.0</c:formatCode>
                <c:ptCount val="4"/>
                <c:pt idx="0">
                  <c:v>-9439.3739166252726</c:v>
                </c:pt>
                <c:pt idx="1">
                  <c:v>-3915.9529250435885</c:v>
                </c:pt>
                <c:pt idx="2">
                  <c:v>1791.0261132502501</c:v>
                </c:pt>
                <c:pt idx="3">
                  <c:v>5722.9457178332377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B2-4A5C-BF03-8A5AA6B1C447}"/>
            </c:ext>
          </c:extLst>
        </c:ser>
        <c:ser>
          <c:idx val="1"/>
          <c:order val="1"/>
          <c:tx>
            <c:strRef>
              <c:f>график!$A$2</c:f>
              <c:strCache>
                <c:ptCount val="1"/>
                <c:pt idx="0">
                  <c:v>Дисконтированный денежный поток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график!$B$4:$E$4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график!$B$2:$E$2</c:f>
              <c:numCache>
                <c:formatCode>#\ ##0.0</c:formatCode>
                <c:ptCount val="4"/>
                <c:pt idx="0">
                  <c:v>-9439.3739166252726</c:v>
                </c:pt>
                <c:pt idx="1">
                  <c:v>-4128.3921939505763</c:v>
                </c:pt>
                <c:pt idx="2">
                  <c:v>1148.0307334660636</c:v>
                </c:pt>
                <c:pt idx="3">
                  <c:v>4643.4929445271227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B2-4A5C-BF03-8A5AA6B1C4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6187224"/>
        <c:axId val="1"/>
      </c:lineChart>
      <c:catAx>
        <c:axId val="556187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\ ##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561872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6275289359321887"/>
          <c:y val="0.81018730613218803"/>
          <c:w val="0.29680363725026171"/>
          <c:h val="0.15235266046289664"/>
        </c:manualLayout>
      </c:layout>
      <c:overlay val="0"/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20</xdr:row>
      <xdr:rowOff>19050</xdr:rowOff>
    </xdr:from>
    <xdr:to>
      <xdr:col>5</xdr:col>
      <xdr:colOff>1514475</xdr:colOff>
      <xdr:row>36</xdr:row>
      <xdr:rowOff>133350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0.65068</cdr:x>
      <cdr:y>0.57576</cdr:y>
    </cdr:from>
    <cdr:to>
      <cdr:x>0.77593</cdr:x>
      <cdr:y>0.63447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334125" y="2895600"/>
          <a:ext cx="1219200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u-RU" sz="1100"/>
            <a:t>Период</a:t>
          </a:r>
        </a:p>
      </cdr:txBody>
    </cdr:sp>
  </cdr:relSizeAnchor>
  <cdr:relSizeAnchor xmlns:cdr="http://schemas.openxmlformats.org/drawingml/2006/chartDrawing">
    <cdr:from>
      <cdr:x>0.05871</cdr:x>
      <cdr:y>0.02703</cdr:y>
    </cdr:from>
    <cdr:to>
      <cdr:x>0.62231</cdr:x>
      <cdr:y>0.09091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75791" y="114300"/>
          <a:ext cx="3607491" cy="2701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u-RU" sz="1100"/>
            <a:t>Денежный поток на собственный капитал, тыс. руб.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5</xdr:row>
      <xdr:rowOff>19050</xdr:rowOff>
    </xdr:from>
    <xdr:to>
      <xdr:col>16</xdr:col>
      <xdr:colOff>123825</xdr:colOff>
      <xdr:row>36</xdr:row>
      <xdr:rowOff>28575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0.65068</cdr:x>
      <cdr:y>0.57576</cdr:y>
    </cdr:from>
    <cdr:to>
      <cdr:x>0.77593</cdr:x>
      <cdr:y>0.63447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334125" y="2895600"/>
          <a:ext cx="1219200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u-RU" sz="1100"/>
            <a:t>Период</a:t>
          </a:r>
        </a:p>
      </cdr:txBody>
    </cdr:sp>
  </cdr:relSizeAnchor>
  <cdr:relSizeAnchor xmlns:cdr="http://schemas.openxmlformats.org/drawingml/2006/chartDrawing">
    <cdr:from>
      <cdr:x>0.05871</cdr:x>
      <cdr:y>0.04735</cdr:y>
    </cdr:from>
    <cdr:to>
      <cdr:x>0.62231</cdr:x>
      <cdr:y>0.09091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71500" y="238125"/>
          <a:ext cx="54864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u-RU" sz="1100"/>
            <a:t>Денежный поток на собственный капитал, тыс. руб.</a:t>
          </a: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01"/>
  <sheetViews>
    <sheetView tabSelected="1" view="pageBreakPreview" topLeftCell="A49" zoomScale="110" zoomScaleNormal="100" zoomScaleSheetLayoutView="110" workbookViewId="0">
      <selection activeCell="B21" sqref="B21"/>
    </sheetView>
  </sheetViews>
  <sheetFormatPr defaultRowHeight="12.75" x14ac:dyDescent="0.2"/>
  <cols>
    <col min="1" max="1" width="46.85546875" customWidth="1"/>
    <col min="2" max="3" width="23.85546875" customWidth="1"/>
    <col min="4" max="4" width="26.42578125" customWidth="1"/>
    <col min="5" max="6" width="23.85546875" customWidth="1"/>
    <col min="7" max="34" width="9.140625" style="1"/>
  </cols>
  <sheetData>
    <row r="1" spans="1:34" ht="15" x14ac:dyDescent="0.2">
      <c r="D1" s="1"/>
      <c r="E1" s="122"/>
      <c r="F1" s="122"/>
    </row>
    <row r="2" spans="1:34" ht="15" x14ac:dyDescent="0.2">
      <c r="D2" s="1"/>
      <c r="E2" s="1"/>
      <c r="F2" s="2"/>
    </row>
    <row r="3" spans="1:34" ht="54" customHeight="1" x14ac:dyDescent="0.2">
      <c r="D3" s="122" t="s">
        <v>0</v>
      </c>
      <c r="E3" s="122"/>
      <c r="F3" s="122"/>
    </row>
    <row r="4" spans="1:34" ht="15" x14ac:dyDescent="0.25">
      <c r="D4" s="1"/>
      <c r="E4" s="1"/>
      <c r="F4" s="3"/>
    </row>
    <row r="5" spans="1:34" ht="15" x14ac:dyDescent="0.25">
      <c r="D5" s="1"/>
      <c r="E5" s="1"/>
      <c r="F5" s="4" t="s">
        <v>1</v>
      </c>
    </row>
    <row r="6" spans="1:34" ht="15" x14ac:dyDescent="0.2">
      <c r="D6" s="1"/>
      <c r="E6" s="1"/>
      <c r="F6" s="5" t="s">
        <v>2</v>
      </c>
    </row>
    <row r="7" spans="1:34" ht="15" x14ac:dyDescent="0.25">
      <c r="D7" s="1"/>
      <c r="E7" s="1"/>
      <c r="F7" s="6" t="s">
        <v>3</v>
      </c>
    </row>
    <row r="8" spans="1:34" ht="15" x14ac:dyDescent="0.25">
      <c r="D8" s="1"/>
      <c r="E8" s="1"/>
      <c r="F8" s="4" t="s">
        <v>4</v>
      </c>
    </row>
    <row r="10" spans="1:34" s="8" customFormat="1" x14ac:dyDescent="0.2">
      <c r="A10" s="123" t="s">
        <v>85</v>
      </c>
      <c r="B10" s="123"/>
      <c r="C10" s="123"/>
      <c r="D10" s="123"/>
      <c r="E10" s="123"/>
      <c r="F10" s="123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</row>
    <row r="11" spans="1:34" s="11" customFormat="1" ht="9" customHeight="1" x14ac:dyDescent="0.2">
      <c r="A11" s="9"/>
      <c r="B11" s="9"/>
      <c r="C11" s="9"/>
      <c r="D11" s="9"/>
      <c r="E11" s="9"/>
      <c r="F11" s="9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s="12" customFormat="1" ht="9" customHeight="1" x14ac:dyDescent="0.2">
      <c r="D12" s="13"/>
      <c r="E12" s="13"/>
      <c r="F12" s="14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</row>
    <row r="13" spans="1:34" s="16" customFormat="1" ht="8.1" customHeight="1" x14ac:dyDescent="0.2">
      <c r="A13" s="124" t="s">
        <v>5</v>
      </c>
      <c r="B13" s="126" t="s">
        <v>6</v>
      </c>
      <c r="D13" s="17"/>
      <c r="E13" s="17"/>
      <c r="F13" s="17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</row>
    <row r="14" spans="1:34" s="12" customFormat="1" ht="3" customHeight="1" thickBot="1" x14ac:dyDescent="0.25">
      <c r="A14" s="125"/>
      <c r="B14" s="125"/>
      <c r="D14" s="19"/>
      <c r="E14" s="19"/>
      <c r="F14" s="19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</row>
    <row r="15" spans="1:34" s="12" customFormat="1" ht="9.1999999999999993" customHeight="1" thickBot="1" x14ac:dyDescent="0.25">
      <c r="A15" s="20" t="s">
        <v>7</v>
      </c>
      <c r="B15" s="21">
        <v>824532.19745098241</v>
      </c>
      <c r="D15" s="22" t="s">
        <v>8</v>
      </c>
      <c r="E15" s="22"/>
      <c r="F15" s="22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</row>
    <row r="16" spans="1:34" s="12" customFormat="1" ht="9.1999999999999993" customHeight="1" x14ac:dyDescent="0.2">
      <c r="A16" s="23" t="s">
        <v>9</v>
      </c>
      <c r="B16" s="24">
        <v>0</v>
      </c>
      <c r="D16" s="25" t="s">
        <v>10</v>
      </c>
      <c r="E16" s="26">
        <f>F90</f>
        <v>2.0195024779486435</v>
      </c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</row>
    <row r="17" spans="1:34" s="12" customFormat="1" ht="9.1999999999999993" customHeight="1" x14ac:dyDescent="0.2">
      <c r="A17" s="23" t="s">
        <v>11</v>
      </c>
      <c r="B17" s="27">
        <f>36/12</f>
        <v>3</v>
      </c>
      <c r="D17" s="28" t="s">
        <v>12</v>
      </c>
      <c r="E17" s="29">
        <f>F91</f>
        <v>2.1157558666937999</v>
      </c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</row>
    <row r="18" spans="1:34" s="12" customFormat="1" ht="8.4499999999999993" customHeight="1" x14ac:dyDescent="0.2">
      <c r="A18" s="127" t="s">
        <v>13</v>
      </c>
      <c r="B18" s="129">
        <v>17</v>
      </c>
      <c r="D18" s="131" t="s">
        <v>14</v>
      </c>
      <c r="E18" s="133" t="s">
        <v>15</v>
      </c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</row>
    <row r="19" spans="1:34" s="12" customFormat="1" ht="23.25" customHeight="1" thickBot="1" x14ac:dyDescent="0.25">
      <c r="A19" s="128"/>
      <c r="B19" s="130"/>
      <c r="D19" s="132"/>
      <c r="E19" s="134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</row>
    <row r="20" spans="1:34" s="12" customFormat="1" ht="11.25" thickBot="1" x14ac:dyDescent="0.25">
      <c r="A20" s="30" t="s">
        <v>16</v>
      </c>
      <c r="B20" s="31"/>
      <c r="D20" s="32" t="s">
        <v>17</v>
      </c>
      <c r="E20" s="33" t="s">
        <v>18</v>
      </c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</row>
    <row r="21" spans="1:34" s="12" customFormat="1" ht="20.25" customHeight="1" x14ac:dyDescent="0.2">
      <c r="A21" s="23" t="s">
        <v>19</v>
      </c>
      <c r="B21" s="24"/>
      <c r="D21" s="13"/>
      <c r="E21" s="13"/>
      <c r="F21" s="13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</row>
    <row r="22" spans="1:34" s="12" customFormat="1" ht="20.25" customHeight="1" x14ac:dyDescent="0.2">
      <c r="A22" s="23" t="s">
        <v>20</v>
      </c>
      <c r="B22" s="24"/>
      <c r="D22" s="13"/>
      <c r="E22" s="13"/>
      <c r="F22" s="13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</row>
    <row r="23" spans="1:34" s="12" customFormat="1" ht="20.25" customHeight="1" x14ac:dyDescent="0.2">
      <c r="A23" s="23" t="s">
        <v>21</v>
      </c>
      <c r="B23" s="24"/>
      <c r="D23" s="13"/>
      <c r="E23" s="13"/>
      <c r="F23" s="13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</row>
    <row r="24" spans="1:34" s="12" customFormat="1" ht="20.25" customHeight="1" x14ac:dyDescent="0.2">
      <c r="A24" s="23" t="s">
        <v>22</v>
      </c>
      <c r="B24" s="34"/>
      <c r="D24" s="13"/>
      <c r="E24" s="13"/>
      <c r="F24" s="13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</row>
    <row r="25" spans="1:34" s="12" customFormat="1" ht="20.25" customHeight="1" x14ac:dyDescent="0.2">
      <c r="A25" s="23" t="s">
        <v>23</v>
      </c>
      <c r="B25" s="24"/>
      <c r="D25" s="13"/>
      <c r="E25" s="13"/>
      <c r="F25" s="13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</row>
    <row r="26" spans="1:34" s="12" customFormat="1" ht="20.25" customHeight="1" x14ac:dyDescent="0.2">
      <c r="A26" s="23"/>
      <c r="B26" s="24"/>
      <c r="D26" s="13"/>
      <c r="E26" s="13"/>
      <c r="F26" s="13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</row>
    <row r="27" spans="1:34" s="12" customFormat="1" ht="20.25" customHeight="1" thickBot="1" x14ac:dyDescent="0.25">
      <c r="A27" s="35" t="s">
        <v>24</v>
      </c>
      <c r="B27" s="36"/>
      <c r="D27" s="13"/>
      <c r="E27" s="13"/>
      <c r="F27" s="13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</row>
    <row r="28" spans="1:34" s="12" customFormat="1" ht="20.25" customHeight="1" x14ac:dyDescent="0.2">
      <c r="A28" s="20"/>
      <c r="B28" s="31"/>
      <c r="D28" s="13"/>
      <c r="E28" s="13"/>
      <c r="F28" s="13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</row>
    <row r="29" spans="1:34" s="12" customFormat="1" ht="20.25" customHeight="1" x14ac:dyDescent="0.2">
      <c r="A29" s="23" t="s">
        <v>25</v>
      </c>
      <c r="B29" s="37"/>
      <c r="D29" s="13"/>
      <c r="E29" s="13"/>
      <c r="F29" s="13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</row>
    <row r="30" spans="1:34" s="12" customFormat="1" ht="20.25" customHeight="1" thickBot="1" x14ac:dyDescent="0.25">
      <c r="A30" s="38" t="s">
        <v>26</v>
      </c>
      <c r="B30" s="39"/>
      <c r="D30" s="13"/>
      <c r="E30" s="13"/>
      <c r="F30" s="13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</row>
    <row r="31" spans="1:34" s="12" customFormat="1" ht="20.25" customHeight="1" x14ac:dyDescent="0.2">
      <c r="A31" s="40" t="s">
        <v>27</v>
      </c>
      <c r="B31" s="34"/>
      <c r="D31" s="13"/>
      <c r="E31" s="13"/>
      <c r="F31" s="13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</row>
    <row r="32" spans="1:34" s="12" customFormat="1" ht="20.25" customHeight="1" x14ac:dyDescent="0.2">
      <c r="A32" s="23" t="s">
        <v>28</v>
      </c>
      <c r="B32" s="24"/>
      <c r="D32" s="13"/>
      <c r="E32" s="13"/>
      <c r="F32" s="13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</row>
    <row r="33" spans="1:34" s="12" customFormat="1" ht="20.25" customHeight="1" x14ac:dyDescent="0.2">
      <c r="A33" s="23" t="s">
        <v>29</v>
      </c>
      <c r="B33" s="24"/>
      <c r="D33" s="13"/>
      <c r="E33" s="13"/>
      <c r="F33" s="13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</row>
    <row r="34" spans="1:34" s="12" customFormat="1" ht="20.25" customHeight="1" x14ac:dyDescent="0.2">
      <c r="A34" s="23" t="s">
        <v>30</v>
      </c>
      <c r="B34" s="24"/>
      <c r="D34" s="13"/>
      <c r="E34" s="13"/>
      <c r="F34" s="13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</row>
    <row r="35" spans="1:34" s="12" customFormat="1" ht="20.25" customHeight="1" x14ac:dyDescent="0.2">
      <c r="A35" s="23" t="s">
        <v>31</v>
      </c>
      <c r="B35" s="24"/>
      <c r="D35" s="13"/>
      <c r="E35" s="13"/>
      <c r="F35" s="13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</row>
    <row r="36" spans="1:34" s="12" customFormat="1" ht="20.25" customHeight="1" x14ac:dyDescent="0.2">
      <c r="A36" s="23" t="s">
        <v>32</v>
      </c>
      <c r="B36" s="24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</row>
    <row r="37" spans="1:34" s="12" customFormat="1" ht="20.25" customHeight="1" thickBot="1" x14ac:dyDescent="0.25">
      <c r="A37" s="41" t="s">
        <v>33</v>
      </c>
      <c r="B37" s="42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</row>
    <row r="38" spans="1:34" s="12" customFormat="1" ht="10.5" x14ac:dyDescent="0.2">
      <c r="A38" s="135" t="s">
        <v>34</v>
      </c>
      <c r="B38" s="109">
        <v>2022</v>
      </c>
      <c r="C38" s="109">
        <f>B38+1</f>
        <v>2023</v>
      </c>
      <c r="D38" s="109">
        <f>C38+1</f>
        <v>2024</v>
      </c>
      <c r="E38" s="109">
        <f>D38+1</f>
        <v>2025</v>
      </c>
      <c r="F38" s="111" t="s">
        <v>35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</row>
    <row r="39" spans="1:34" s="12" customFormat="1" ht="10.5" x14ac:dyDescent="0.2">
      <c r="A39" s="136"/>
      <c r="B39" s="110"/>
      <c r="C39" s="110"/>
      <c r="D39" s="110"/>
      <c r="E39" s="110"/>
      <c r="F39" s="112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</row>
    <row r="40" spans="1:34" s="12" customFormat="1" ht="9.1999999999999993" customHeight="1" x14ac:dyDescent="0.2">
      <c r="A40" s="23" t="s">
        <v>36</v>
      </c>
      <c r="B40" s="43"/>
      <c r="C40" s="43"/>
      <c r="D40" s="43"/>
      <c r="E40" s="43"/>
      <c r="F40" s="44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</row>
    <row r="41" spans="1:34" s="12" customFormat="1" ht="9.1999999999999993" customHeight="1" x14ac:dyDescent="0.2">
      <c r="A41" s="23" t="s">
        <v>37</v>
      </c>
      <c r="B41" s="43"/>
      <c r="C41" s="43"/>
      <c r="D41" s="43"/>
      <c r="E41" s="43"/>
      <c r="F41" s="44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</row>
    <row r="42" spans="1:34" s="12" customFormat="1" ht="9.1999999999999993" customHeight="1" thickBot="1" x14ac:dyDescent="0.25">
      <c r="A42" s="38" t="s">
        <v>38</v>
      </c>
      <c r="B42" s="45"/>
      <c r="C42" s="45"/>
      <c r="D42" s="45"/>
      <c r="E42" s="45"/>
      <c r="F42" s="46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</row>
    <row r="43" spans="1:34" s="13" customFormat="1" ht="3" customHeight="1" thickBot="1" x14ac:dyDescent="0.25">
      <c r="A43" s="47"/>
      <c r="B43" s="47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</row>
    <row r="44" spans="1:34" s="12" customFormat="1" ht="9" customHeight="1" x14ac:dyDescent="0.2">
      <c r="A44" s="107" t="s">
        <v>39</v>
      </c>
      <c r="B44" s="109">
        <f>B38</f>
        <v>2022</v>
      </c>
      <c r="C44" s="109">
        <f>C38</f>
        <v>2023</v>
      </c>
      <c r="D44" s="109">
        <f>D38</f>
        <v>2024</v>
      </c>
      <c r="E44" s="109">
        <f>E38</f>
        <v>2025</v>
      </c>
      <c r="F44" s="111" t="s">
        <v>35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</row>
    <row r="45" spans="1:34" s="12" customFormat="1" ht="10.5" x14ac:dyDescent="0.2">
      <c r="A45" s="108"/>
      <c r="B45" s="110"/>
      <c r="C45" s="110"/>
      <c r="D45" s="110"/>
      <c r="E45" s="110"/>
      <c r="F45" s="112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</row>
    <row r="46" spans="1:34" s="12" customFormat="1" ht="9.1999999999999993" customHeight="1" x14ac:dyDescent="0.2">
      <c r="A46" s="40" t="s">
        <v>40</v>
      </c>
      <c r="B46" s="48"/>
      <c r="C46" s="48"/>
      <c r="D46" s="48"/>
      <c r="E46" s="48"/>
      <c r="F46" s="49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</row>
    <row r="47" spans="1:34" s="12" customFormat="1" ht="9.1999999999999993" customHeight="1" x14ac:dyDescent="0.2">
      <c r="A47" s="23" t="s">
        <v>41</v>
      </c>
      <c r="B47" s="43"/>
      <c r="C47" s="43"/>
      <c r="D47" s="43"/>
      <c r="E47" s="43"/>
      <c r="F47" s="50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</row>
    <row r="48" spans="1:34" s="12" customFormat="1" ht="9.1999999999999993" customHeight="1" x14ac:dyDescent="0.2">
      <c r="A48" s="23" t="s">
        <v>42</v>
      </c>
      <c r="B48" s="43"/>
      <c r="C48" s="43"/>
      <c r="D48" s="43"/>
      <c r="E48" s="43"/>
      <c r="F48" s="50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</row>
    <row r="49" spans="1:34" s="12" customFormat="1" ht="9.1999999999999993" customHeight="1" thickBot="1" x14ac:dyDescent="0.25">
      <c r="A49" s="38" t="s">
        <v>43</v>
      </c>
      <c r="B49" s="45"/>
      <c r="C49" s="45"/>
      <c r="D49" s="45"/>
      <c r="E49" s="45"/>
      <c r="F49" s="51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</row>
    <row r="50" spans="1:34" s="16" customFormat="1" ht="3" customHeight="1" thickBot="1" x14ac:dyDescent="0.25">
      <c r="A50" s="52"/>
      <c r="B50" s="52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</row>
    <row r="51" spans="1:34" s="12" customFormat="1" ht="14.1" customHeight="1" x14ac:dyDescent="0.2">
      <c r="A51" s="107" t="s">
        <v>44</v>
      </c>
      <c r="B51" s="109">
        <f>B44</f>
        <v>2022</v>
      </c>
      <c r="C51" s="109">
        <f>C44</f>
        <v>2023</v>
      </c>
      <c r="D51" s="109">
        <f>D44</f>
        <v>2024</v>
      </c>
      <c r="E51" s="109">
        <f>E44</f>
        <v>2025</v>
      </c>
      <c r="F51" s="111" t="s">
        <v>35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</row>
    <row r="52" spans="1:34" s="12" customFormat="1" ht="10.5" customHeight="1" x14ac:dyDescent="0.2">
      <c r="A52" s="108"/>
      <c r="B52" s="110"/>
      <c r="C52" s="110"/>
      <c r="D52" s="110"/>
      <c r="E52" s="110"/>
      <c r="F52" s="112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</row>
    <row r="53" spans="1:34" s="11" customFormat="1" ht="10.5" x14ac:dyDescent="0.2">
      <c r="A53" s="53" t="s">
        <v>45</v>
      </c>
      <c r="B53" s="54">
        <f>B54</f>
        <v>6356389.0677945307</v>
      </c>
      <c r="C53" s="54">
        <f>C54</f>
        <v>19889141.393129088</v>
      </c>
      <c r="D53" s="54">
        <f>D54</f>
        <v>20684707.048854247</v>
      </c>
      <c r="E53" s="54">
        <f>E54</f>
        <v>14341396.887205616</v>
      </c>
      <c r="F53" s="55">
        <f>SUM(B53:E53)</f>
        <v>61271634.396983482</v>
      </c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</row>
    <row r="54" spans="1:34" s="11" customFormat="1" ht="15" customHeight="1" x14ac:dyDescent="0.2">
      <c r="A54" s="56" t="s">
        <v>46</v>
      </c>
      <c r="B54" s="57">
        <v>6356389.0677945307</v>
      </c>
      <c r="C54" s="57">
        <v>19889141.393129088</v>
      </c>
      <c r="D54" s="57">
        <v>20684707.048854247</v>
      </c>
      <c r="E54" s="57">
        <v>14341396.887205616</v>
      </c>
      <c r="F54" s="58">
        <f>SUM(B54:E54)</f>
        <v>61271634.396983482</v>
      </c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</row>
    <row r="55" spans="1:34" s="12" customFormat="1" ht="17.25" customHeight="1" x14ac:dyDescent="0.2">
      <c r="A55" s="23" t="s">
        <v>47</v>
      </c>
      <c r="B55" s="43"/>
      <c r="C55" s="57"/>
      <c r="D55" s="57"/>
      <c r="E55" s="57"/>
      <c r="F55" s="58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</row>
    <row r="56" spans="1:34" s="12" customFormat="1" ht="15" customHeight="1" x14ac:dyDescent="0.2">
      <c r="A56" s="23" t="s">
        <v>48</v>
      </c>
      <c r="B56" s="43"/>
      <c r="C56" s="57"/>
      <c r="D56" s="57"/>
      <c r="E56" s="57"/>
      <c r="F56" s="58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</row>
    <row r="57" spans="1:34" s="12" customFormat="1" ht="9.75" customHeight="1" x14ac:dyDescent="0.2">
      <c r="A57" s="23" t="s">
        <v>21</v>
      </c>
      <c r="B57" s="59">
        <f>B61+B60+B59+B58</f>
        <v>3918432.3553798157</v>
      </c>
      <c r="C57" s="59">
        <f>C61+C60+C59+C58</f>
        <v>12240889.446789248</v>
      </c>
      <c r="D57" s="59">
        <f>D61+D60+D59+D58</f>
        <v>12730525.024660816</v>
      </c>
      <c r="E57" s="59">
        <f>E61+E60+E59+E58</f>
        <v>8826497.3504315019</v>
      </c>
      <c r="F57" s="58">
        <f>SUM(B57:E57)</f>
        <v>37716344.177261382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</row>
    <row r="58" spans="1:34" s="12" customFormat="1" ht="9.1999999999999993" customHeight="1" x14ac:dyDescent="0.2">
      <c r="A58" s="56" t="s">
        <v>49</v>
      </c>
      <c r="B58" s="59">
        <v>1347766.5632646945</v>
      </c>
      <c r="C58" s="59">
        <v>4217161.576455229</v>
      </c>
      <c r="D58" s="59">
        <v>4385848.0395134371</v>
      </c>
      <c r="E58" s="59">
        <v>3040854.6407293174</v>
      </c>
      <c r="F58" s="58">
        <f>SUM(B58:E58)</f>
        <v>12991630.819962678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</row>
    <row r="59" spans="1:34" s="12" customFormat="1" ht="9.1999999999999993" customHeight="1" x14ac:dyDescent="0.2">
      <c r="A59" s="56" t="s">
        <v>50</v>
      </c>
      <c r="B59" s="59">
        <v>421399.1629498431</v>
      </c>
      <c r="C59" s="57">
        <v>1318015.9873383527</v>
      </c>
      <c r="D59" s="57">
        <v>1370736.6268318868</v>
      </c>
      <c r="E59" s="57">
        <v>950377.3946034417</v>
      </c>
      <c r="F59" s="58">
        <f>SUM(B59:E59)</f>
        <v>4060529.1717235241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</row>
    <row r="60" spans="1:34" s="12" customFormat="1" ht="9.1999999999999993" customHeight="1" x14ac:dyDescent="0.2">
      <c r="A60" s="56" t="s">
        <v>51</v>
      </c>
      <c r="B60" s="59">
        <v>1118226.4245711588</v>
      </c>
      <c r="C60" s="57">
        <v>3488866.444662015</v>
      </c>
      <c r="D60" s="57">
        <v>3628421.102448496</v>
      </c>
      <c r="E60" s="57">
        <v>2515705.2976976247</v>
      </c>
      <c r="F60" s="58">
        <f>SUM(B60:E60)</f>
        <v>10751219.269379295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</row>
    <row r="61" spans="1:34" s="12" customFormat="1" ht="9.1999999999999993" customHeight="1" x14ac:dyDescent="0.2">
      <c r="A61" s="56" t="s">
        <v>52</v>
      </c>
      <c r="B61" s="59">
        <v>1031040.2045941188</v>
      </c>
      <c r="C61" s="57">
        <v>3216845.4383336511</v>
      </c>
      <c r="D61" s="57">
        <v>3345519.2558669969</v>
      </c>
      <c r="E61" s="57">
        <v>2319560.0174011178</v>
      </c>
      <c r="F61" s="58">
        <f>SUM(B61:E61)</f>
        <v>9912964.9161958843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</row>
    <row r="62" spans="1:34" s="12" customFormat="1" ht="9.1999999999999993" customHeight="1" x14ac:dyDescent="0.2">
      <c r="A62" s="23" t="s">
        <v>53</v>
      </c>
      <c r="B62" s="59"/>
      <c r="C62" s="57"/>
      <c r="D62" s="57"/>
      <c r="E62" s="57"/>
      <c r="F62" s="58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</row>
    <row r="63" spans="1:34" s="11" customFormat="1" ht="8.4499999999999993" customHeight="1" x14ac:dyDescent="0.2">
      <c r="A63" s="60" t="s">
        <v>54</v>
      </c>
      <c r="B63" s="118">
        <f>B53-B57</f>
        <v>2437956.712414715</v>
      </c>
      <c r="C63" s="118">
        <f>C53-C57</f>
        <v>7648251.9463398401</v>
      </c>
      <c r="D63" s="118">
        <f>D53-D57</f>
        <v>7954182.0241934303</v>
      </c>
      <c r="E63" s="118">
        <f>E53-E57</f>
        <v>5514899.5367741138</v>
      </c>
      <c r="F63" s="105">
        <f>SUM(B63:E64)</f>
        <v>23555290.2197221</v>
      </c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</row>
    <row r="64" spans="1:34" s="11" customFormat="1" ht="8.4499999999999993" customHeight="1" x14ac:dyDescent="0.2">
      <c r="A64" s="61" t="s">
        <v>55</v>
      </c>
      <c r="B64" s="119"/>
      <c r="C64" s="119"/>
      <c r="D64" s="119"/>
      <c r="E64" s="119"/>
      <c r="F64" s="106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</row>
    <row r="65" spans="1:34" s="12" customFormat="1" ht="9.1999999999999993" customHeight="1" x14ac:dyDescent="0.2">
      <c r="A65" s="23" t="s">
        <v>56</v>
      </c>
      <c r="B65" s="59">
        <f>B15*B18/B17/12*4</f>
        <v>1557449.7062963003</v>
      </c>
      <c r="C65" s="57">
        <f>B15*B18/B17/12*12</f>
        <v>4672349.1188889006</v>
      </c>
      <c r="D65" s="57">
        <f>B15*B18/B17/12*12</f>
        <v>4672349.1188889006</v>
      </c>
      <c r="E65" s="57">
        <f>B15*B18/B17/12*8</f>
        <v>3114899.4125926006</v>
      </c>
      <c r="F65" s="58">
        <f>SUM(B65:E65)</f>
        <v>14017047.356666703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</row>
    <row r="66" spans="1:34" s="11" customFormat="1" ht="8.4499999999999993" customHeight="1" x14ac:dyDescent="0.2">
      <c r="A66" s="60" t="s">
        <v>57</v>
      </c>
      <c r="B66" s="118">
        <f>B63-B65</f>
        <v>880507.00611841469</v>
      </c>
      <c r="C66" s="120">
        <f>C63-C65</f>
        <v>2975902.8274509395</v>
      </c>
      <c r="D66" s="120">
        <f>D63-D65</f>
        <v>3281832.9053045297</v>
      </c>
      <c r="E66" s="120">
        <f>E63-E65</f>
        <v>2400000.1241815132</v>
      </c>
      <c r="F66" s="105">
        <f>SUM(B66:E67)</f>
        <v>9538242.8630553968</v>
      </c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</row>
    <row r="67" spans="1:34" s="11" customFormat="1" ht="8.4499999999999993" customHeight="1" x14ac:dyDescent="0.2">
      <c r="A67" s="62" t="s">
        <v>58</v>
      </c>
      <c r="B67" s="119"/>
      <c r="C67" s="121"/>
      <c r="D67" s="121"/>
      <c r="E67" s="121"/>
      <c r="F67" s="106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</row>
    <row r="68" spans="1:34" s="12" customFormat="1" ht="9.1999999999999993" customHeight="1" x14ac:dyDescent="0.2">
      <c r="A68" s="23" t="s">
        <v>59</v>
      </c>
      <c r="B68" s="43"/>
      <c r="C68" s="57"/>
      <c r="D68" s="57"/>
      <c r="E68" s="57"/>
      <c r="F68" s="58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</row>
    <row r="69" spans="1:34" s="11" customFormat="1" ht="9.1999999999999993" customHeight="1" x14ac:dyDescent="0.2">
      <c r="A69" s="63" t="s">
        <v>60</v>
      </c>
      <c r="B69" s="64">
        <f>B66-B68</f>
        <v>880507.00611841469</v>
      </c>
      <c r="C69" s="65">
        <f>C66-C68</f>
        <v>2975902.8274509395</v>
      </c>
      <c r="D69" s="65">
        <f>D66-D68</f>
        <v>3281832.9053045297</v>
      </c>
      <c r="E69" s="65">
        <f>E66-E68</f>
        <v>2400000.1241815132</v>
      </c>
      <c r="F69" s="66">
        <f>SUM(B69:E69)</f>
        <v>9538242.8630553968</v>
      </c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</row>
    <row r="70" spans="1:34" s="12" customFormat="1" ht="9.1999999999999993" customHeight="1" x14ac:dyDescent="0.2">
      <c r="A70" s="23" t="s">
        <v>24</v>
      </c>
      <c r="B70" s="59">
        <f>IF(B69&lt;0,0,B69*0.2)</f>
        <v>176101.40122368294</v>
      </c>
      <c r="C70" s="57">
        <f>IF(C69&lt;0,0,C69*0.2)</f>
        <v>595180.56549018796</v>
      </c>
      <c r="D70" s="57">
        <f>IF(D69&lt;0,0,D69*0.2)</f>
        <v>656366.58106090594</v>
      </c>
      <c r="E70" s="57">
        <f>IF(E69&lt;0,0,E69*0.2)</f>
        <v>480000.02483630268</v>
      </c>
      <c r="F70" s="58">
        <f>SUM(B70:E70)</f>
        <v>1907648.5726110796</v>
      </c>
      <c r="G70" s="67"/>
      <c r="H70" s="67"/>
      <c r="I70" s="67"/>
      <c r="J70" s="67"/>
      <c r="K70" s="67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</row>
    <row r="71" spans="1:34" s="11" customFormat="1" ht="14.25" customHeight="1" thickBot="1" x14ac:dyDescent="0.25">
      <c r="A71" s="68" t="s">
        <v>61</v>
      </c>
      <c r="B71" s="69">
        <f>B69-B70</f>
        <v>704405.60489473178</v>
      </c>
      <c r="C71" s="70">
        <f>C69-C70</f>
        <v>2380722.2619607514</v>
      </c>
      <c r="D71" s="70">
        <f>D69-D70</f>
        <v>2625466.3242436238</v>
      </c>
      <c r="E71" s="70">
        <f>E69-E70</f>
        <v>1920000.0993452105</v>
      </c>
      <c r="F71" s="71">
        <f>SUM(B71:E71)</f>
        <v>7630594.2904443182</v>
      </c>
      <c r="G71" s="67"/>
      <c r="H71" s="67"/>
      <c r="I71" s="67"/>
      <c r="J71" s="67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</row>
    <row r="72" spans="1:34" s="16" customFormat="1" ht="3" customHeight="1" thickBot="1" x14ac:dyDescent="0.25">
      <c r="A72" s="52"/>
      <c r="B72" s="52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</row>
    <row r="73" spans="1:34" s="74" customFormat="1" ht="14.1" customHeight="1" x14ac:dyDescent="0.2">
      <c r="A73" s="107" t="s">
        <v>62</v>
      </c>
      <c r="B73" s="109">
        <f>B51</f>
        <v>2022</v>
      </c>
      <c r="C73" s="109">
        <f>C51</f>
        <v>2023</v>
      </c>
      <c r="D73" s="109">
        <f>D51</f>
        <v>2024</v>
      </c>
      <c r="E73" s="109">
        <f>E51</f>
        <v>2025</v>
      </c>
      <c r="F73" s="111" t="s">
        <v>35</v>
      </c>
      <c r="G73" s="72"/>
      <c r="H73" s="72"/>
      <c r="I73" s="72"/>
      <c r="J73" s="72"/>
      <c r="K73" s="72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</row>
    <row r="74" spans="1:34" s="74" customFormat="1" ht="11.25" customHeight="1" x14ac:dyDescent="0.2">
      <c r="A74" s="108"/>
      <c r="B74" s="110"/>
      <c r="C74" s="110"/>
      <c r="D74" s="110"/>
      <c r="E74" s="110"/>
      <c r="F74" s="112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</row>
    <row r="75" spans="1:34" s="76" customFormat="1" ht="15" customHeight="1" x14ac:dyDescent="0.2">
      <c r="A75" s="113" t="s">
        <v>63</v>
      </c>
      <c r="B75" s="115">
        <f>B66</f>
        <v>880507.00611841469</v>
      </c>
      <c r="C75" s="115">
        <f>C66</f>
        <v>2975902.8274509395</v>
      </c>
      <c r="D75" s="115">
        <f>D66</f>
        <v>3281832.9053045297</v>
      </c>
      <c r="E75" s="115">
        <f>E66</f>
        <v>2400000.1241815132</v>
      </c>
      <c r="F75" s="105">
        <f>SUM(B75:E76)</f>
        <v>9538242.8630553968</v>
      </c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</row>
    <row r="76" spans="1:34" s="76" customFormat="1" ht="8.4499999999999993" customHeight="1" x14ac:dyDescent="0.2">
      <c r="A76" s="114"/>
      <c r="B76" s="116"/>
      <c r="C76" s="117"/>
      <c r="D76" s="117"/>
      <c r="E76" s="117"/>
      <c r="F76" s="106">
        <f t="shared" ref="F76:F84" si="0">SUM(B76:E76)</f>
        <v>0</v>
      </c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</row>
    <row r="77" spans="1:34" s="74" customFormat="1" ht="9.1999999999999993" customHeight="1" x14ac:dyDescent="0.2">
      <c r="A77" s="23" t="s">
        <v>56</v>
      </c>
      <c r="B77" s="77">
        <f>B65</f>
        <v>1557449.7062963003</v>
      </c>
      <c r="C77" s="78">
        <f>C65</f>
        <v>4672349.1188889006</v>
      </c>
      <c r="D77" s="78">
        <f>D65</f>
        <v>4672349.1188889006</v>
      </c>
      <c r="E77" s="78">
        <f>E65</f>
        <v>3114899.4125926006</v>
      </c>
      <c r="F77" s="58">
        <f t="shared" si="0"/>
        <v>14017047.356666703</v>
      </c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</row>
    <row r="78" spans="1:34" s="74" customFormat="1" ht="9.1999999999999993" customHeight="1" x14ac:dyDescent="0.2">
      <c r="A78" s="23" t="s">
        <v>59</v>
      </c>
      <c r="B78" s="77"/>
      <c r="C78" s="77"/>
      <c r="D78" s="77"/>
      <c r="E78" s="77"/>
      <c r="F78" s="58">
        <f t="shared" si="0"/>
        <v>0</v>
      </c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</row>
    <row r="79" spans="1:34" s="74" customFormat="1" ht="9.1999999999999993" customHeight="1" x14ac:dyDescent="0.2">
      <c r="A79" s="23" t="s">
        <v>24</v>
      </c>
      <c r="B79" s="77">
        <f>B70</f>
        <v>176101.40122368294</v>
      </c>
      <c r="C79" s="78">
        <f>C70</f>
        <v>595180.56549018796</v>
      </c>
      <c r="D79" s="78">
        <f>D70</f>
        <v>656366.58106090594</v>
      </c>
      <c r="E79" s="78">
        <f>E70</f>
        <v>480000.02483630268</v>
      </c>
      <c r="F79" s="58">
        <f t="shared" si="0"/>
        <v>1907648.5726110796</v>
      </c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</row>
    <row r="80" spans="1:34" s="74" customFormat="1" ht="9.1999999999999993" customHeight="1" x14ac:dyDescent="0.2">
      <c r="A80" s="23" t="s">
        <v>64</v>
      </c>
      <c r="B80" s="57">
        <f>(B63-B82)*0.2</f>
        <v>-2315818.1288503972</v>
      </c>
      <c r="C80" s="57">
        <f>(C63-C82)*0.2</f>
        <v>1529650.389267968</v>
      </c>
      <c r="D80" s="57">
        <f>(D63-D82)*0.2</f>
        <v>1590836.4048386861</v>
      </c>
      <c r="E80" s="57">
        <f>(E63-E82)*0.2</f>
        <v>1102979.9073548228</v>
      </c>
      <c r="F80" s="58">
        <f t="shared" si="0"/>
        <v>1907648.5726110798</v>
      </c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</row>
    <row r="81" spans="1:34" s="74" customFormat="1" ht="9.1999999999999993" customHeight="1" x14ac:dyDescent="0.2">
      <c r="A81" s="23" t="s">
        <v>65</v>
      </c>
      <c r="B81" s="77"/>
      <c r="C81" s="79"/>
      <c r="D81" s="79"/>
      <c r="E81" s="79"/>
      <c r="F81" s="58">
        <f t="shared" si="0"/>
        <v>0</v>
      </c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</row>
    <row r="82" spans="1:34" s="74" customFormat="1" ht="9.1999999999999993" customHeight="1" x14ac:dyDescent="0.2">
      <c r="A82" s="23" t="s">
        <v>66</v>
      </c>
      <c r="B82" s="77">
        <f>B15*B18</f>
        <v>14017047.356666701</v>
      </c>
      <c r="C82" s="79"/>
      <c r="D82" s="79"/>
      <c r="E82" s="79"/>
      <c r="F82" s="58">
        <f t="shared" si="0"/>
        <v>14017047.356666701</v>
      </c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</row>
    <row r="83" spans="1:34" s="74" customFormat="1" ht="9.1999999999999993" customHeight="1" x14ac:dyDescent="0.2">
      <c r="A83" s="23" t="s">
        <v>67</v>
      </c>
      <c r="B83" s="77"/>
      <c r="C83" s="79"/>
      <c r="D83" s="79"/>
      <c r="E83" s="79"/>
      <c r="F83" s="58">
        <f t="shared" si="0"/>
        <v>0</v>
      </c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</row>
    <row r="84" spans="1:34" s="76" customFormat="1" ht="9.1999999999999993" customHeight="1" x14ac:dyDescent="0.2">
      <c r="A84" s="63" t="s">
        <v>68</v>
      </c>
      <c r="B84" s="80">
        <f>B75+B77-B78-B79-B82-B80</f>
        <v>-9439373.9166252725</v>
      </c>
      <c r="C84" s="80">
        <f>C75+C77-C78-C79-C82-C80</f>
        <v>5523420.991581684</v>
      </c>
      <c r="D84" s="80">
        <f>D75+D77-D78-D79-D82-D80</f>
        <v>5706979.0382938385</v>
      </c>
      <c r="E84" s="80">
        <f>E75+E77-E78-E79-E82-E80</f>
        <v>3931919.6045829882</v>
      </c>
      <c r="F84" s="66">
        <f t="shared" si="0"/>
        <v>5722945.7178332377</v>
      </c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</row>
    <row r="85" spans="1:34" s="76" customFormat="1" ht="9.1999999999999993" customHeight="1" x14ac:dyDescent="0.2">
      <c r="A85" s="63" t="s">
        <v>69</v>
      </c>
      <c r="B85" s="80">
        <f>B84</f>
        <v>-9439373.9166252725</v>
      </c>
      <c r="C85" s="81">
        <f>B85+C84</f>
        <v>-3915952.9250435885</v>
      </c>
      <c r="D85" s="81">
        <f>C85+D84</f>
        <v>1791026.11325025</v>
      </c>
      <c r="E85" s="81">
        <f>D85+E84</f>
        <v>5722945.7178332377</v>
      </c>
      <c r="F85" s="66">
        <f>E85</f>
        <v>5722945.7178332377</v>
      </c>
      <c r="G85" s="75"/>
      <c r="H85" s="75"/>
      <c r="I85" s="75"/>
      <c r="J85" s="75"/>
      <c r="K85" s="75"/>
      <c r="L85" s="75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</row>
    <row r="86" spans="1:34" s="74" customFormat="1" ht="9.1999999999999993" customHeight="1" x14ac:dyDescent="0.2">
      <c r="A86" s="23" t="s">
        <v>70</v>
      </c>
      <c r="B86" s="82">
        <v>1</v>
      </c>
      <c r="C86" s="82">
        <v>1.04</v>
      </c>
      <c r="D86" s="82">
        <v>1.04</v>
      </c>
      <c r="E86" s="82">
        <v>1.04</v>
      </c>
      <c r="F86" s="58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</row>
    <row r="87" spans="1:34" s="76" customFormat="1" ht="13.5" customHeight="1" x14ac:dyDescent="0.2">
      <c r="A87" s="83" t="s">
        <v>71</v>
      </c>
      <c r="B87" s="84">
        <f>B85*B86</f>
        <v>-9439373.9166252725</v>
      </c>
      <c r="C87" s="84">
        <f>B87+C84/(C86)^1</f>
        <v>-4128392.1939505767</v>
      </c>
      <c r="D87" s="84">
        <f>C87+D84/(D86)^2</f>
        <v>1148030.7334660636</v>
      </c>
      <c r="E87" s="84">
        <f>D87+E84/(E86)^3</f>
        <v>4643492.9445271231</v>
      </c>
      <c r="F87" s="85">
        <f>E87</f>
        <v>4643492.9445271231</v>
      </c>
      <c r="G87" s="75"/>
      <c r="H87" s="86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</row>
    <row r="88" spans="1:34" s="76" customFormat="1" ht="9.1999999999999993" customHeight="1" x14ac:dyDescent="0.2">
      <c r="A88" s="63" t="s">
        <v>72</v>
      </c>
      <c r="B88" s="65"/>
      <c r="C88" s="81"/>
      <c r="D88" s="81"/>
      <c r="E88" s="81"/>
      <c r="F88" s="66">
        <f>B87+NPV(0.04,C84:E84)</f>
        <v>4643492.9445271231</v>
      </c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</row>
    <row r="89" spans="1:34" s="76" customFormat="1" ht="9.1999999999999993" customHeight="1" x14ac:dyDescent="0.2">
      <c r="A89" s="63" t="s">
        <v>73</v>
      </c>
      <c r="B89" s="87"/>
      <c r="C89" s="88"/>
      <c r="D89" s="88"/>
      <c r="E89" s="88"/>
      <c r="F89" s="104">
        <f>IRR(B84:E84)</f>
        <v>0.29809844499940885</v>
      </c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  <c r="T89" s="75"/>
      <c r="U89" s="75"/>
      <c r="V89" s="75"/>
      <c r="W89" s="75"/>
      <c r="X89" s="75"/>
      <c r="Y89" s="75"/>
      <c r="Z89" s="75"/>
      <c r="AA89" s="75"/>
      <c r="AB89" s="75"/>
      <c r="AC89" s="75"/>
      <c r="AD89" s="75"/>
      <c r="AE89" s="75"/>
      <c r="AF89" s="75"/>
      <c r="AG89" s="75"/>
      <c r="AH89" s="75"/>
    </row>
    <row r="90" spans="1:34" s="76" customFormat="1" ht="9.1999999999999993" customHeight="1" x14ac:dyDescent="0.2">
      <c r="A90" s="63" t="s">
        <v>74</v>
      </c>
      <c r="B90" s="89">
        <v>0.33333333333333331</v>
      </c>
      <c r="C90" s="90">
        <f>IF(B85*C85&gt;0,IF(C85&lt;0,1,0),B85/(B85-C85))</f>
        <v>1</v>
      </c>
      <c r="D90" s="90">
        <f>IF(C85*D85&gt;0,IF(D85&lt;0,1,0),C85/(C85-D85))</f>
        <v>0.6861691446153102</v>
      </c>
      <c r="E90" s="90">
        <f>IF(D85*E85&gt;0,IF(E85&lt;0,1,0),D85/(D85-E85))</f>
        <v>0</v>
      </c>
      <c r="F90" s="91">
        <f>SUM(B90:E90)</f>
        <v>2.0195024779486435</v>
      </c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</row>
    <row r="91" spans="1:34" s="76" customFormat="1" ht="9.1999999999999993" customHeight="1" thickBot="1" x14ac:dyDescent="0.25">
      <c r="A91" s="92" t="s">
        <v>75</v>
      </c>
      <c r="B91" s="93">
        <v>0.33333333333333331</v>
      </c>
      <c r="C91" s="94">
        <f>IF(B87*C87&gt;0,IF(C87&lt;0,1,0),B87/(B87-C87))</f>
        <v>1</v>
      </c>
      <c r="D91" s="94">
        <f>IF(C87*D87&gt;0,IF(D87&lt;0,1,0),C87/(C87-D87))</f>
        <v>0.78242253336046652</v>
      </c>
      <c r="E91" s="94">
        <f>IF(D87*E87&gt;0,IF(E87&lt;0,1,0),D87/(D87-E87))</f>
        <v>0</v>
      </c>
      <c r="F91" s="95">
        <f>SUM(B91:E91)</f>
        <v>2.1157558666937999</v>
      </c>
      <c r="G91" s="75"/>
      <c r="H91" s="75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</row>
    <row r="92" spans="1:34" s="16" customFormat="1" ht="2.1" customHeight="1" x14ac:dyDescent="0.2"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</row>
    <row r="93" spans="1:34" s="96" customFormat="1" ht="8.4499999999999993" customHeight="1" x14ac:dyDescent="0.15">
      <c r="A93" s="96" t="s">
        <v>76</v>
      </c>
      <c r="G93" s="97"/>
      <c r="H93" s="97"/>
      <c r="I93" s="97"/>
      <c r="J93" s="97"/>
      <c r="K93" s="97"/>
      <c r="L93" s="97"/>
      <c r="M93" s="97"/>
      <c r="N93" s="97"/>
      <c r="O93" s="97"/>
      <c r="P93" s="97"/>
      <c r="Q93" s="97"/>
      <c r="R93" s="97"/>
      <c r="S93" s="97"/>
      <c r="T93" s="97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  <c r="AH93" s="97"/>
    </row>
    <row r="94" spans="1:34" s="98" customFormat="1" ht="8.1" customHeight="1" x14ac:dyDescent="0.15">
      <c r="A94" s="98" t="s">
        <v>77</v>
      </c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99"/>
      <c r="AH94" s="99"/>
    </row>
    <row r="95" spans="1:34" s="98" customFormat="1" ht="8.1" customHeight="1" x14ac:dyDescent="0.15">
      <c r="A95" s="98" t="s">
        <v>78</v>
      </c>
      <c r="G95" s="99"/>
      <c r="H95" s="99"/>
      <c r="I95" s="99"/>
      <c r="J95" s="99"/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99"/>
      <c r="W95" s="99"/>
      <c r="X95" s="99"/>
      <c r="Y95" s="99"/>
      <c r="Z95" s="99"/>
      <c r="AA95" s="99"/>
      <c r="AB95" s="99"/>
      <c r="AC95" s="99"/>
      <c r="AD95" s="99"/>
      <c r="AE95" s="99"/>
      <c r="AF95" s="99"/>
      <c r="AG95" s="99"/>
      <c r="AH95" s="99"/>
    </row>
    <row r="96" spans="1:34" s="98" customFormat="1" ht="8.1" customHeight="1" x14ac:dyDescent="0.15">
      <c r="A96" s="98" t="s">
        <v>79</v>
      </c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99"/>
      <c r="V96" s="99"/>
      <c r="W96" s="99"/>
      <c r="X96" s="99"/>
      <c r="Y96" s="99"/>
      <c r="Z96" s="99"/>
      <c r="AA96" s="99"/>
      <c r="AB96" s="99"/>
      <c r="AC96" s="99"/>
      <c r="AD96" s="99"/>
      <c r="AE96" s="99"/>
      <c r="AF96" s="99"/>
      <c r="AG96" s="99"/>
      <c r="AH96" s="99"/>
    </row>
    <row r="97" spans="1:34" s="96" customFormat="1" ht="8.4499999999999993" customHeight="1" x14ac:dyDescent="0.15">
      <c r="A97" s="96" t="s">
        <v>80</v>
      </c>
      <c r="G97" s="97"/>
      <c r="H97" s="97"/>
      <c r="I97" s="97"/>
      <c r="J97" s="97"/>
      <c r="K97" s="97"/>
      <c r="L97" s="97"/>
      <c r="M97" s="97"/>
      <c r="N97" s="97"/>
      <c r="O97" s="97"/>
      <c r="P97" s="97"/>
      <c r="Q97" s="97"/>
      <c r="R97" s="97"/>
      <c r="S97" s="97"/>
      <c r="T97" s="97"/>
      <c r="U97" s="97"/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  <c r="AH97" s="97"/>
    </row>
    <row r="101" spans="1:34" s="101" customFormat="1" ht="15" x14ac:dyDescent="0.25">
      <c r="A101" s="100" t="s">
        <v>83</v>
      </c>
      <c r="F101" s="100" t="s">
        <v>84</v>
      </c>
    </row>
  </sheetData>
  <mergeCells count="49">
    <mergeCell ref="F38:F39"/>
    <mergeCell ref="E1:F1"/>
    <mergeCell ref="D3:F3"/>
    <mergeCell ref="A10:F10"/>
    <mergeCell ref="A13:A14"/>
    <mergeCell ref="B13:B14"/>
    <mergeCell ref="A18:A19"/>
    <mergeCell ref="B18:B19"/>
    <mergeCell ref="D18:D19"/>
    <mergeCell ref="E18:E19"/>
    <mergeCell ref="A38:A39"/>
    <mergeCell ref="B38:B39"/>
    <mergeCell ref="C38:C39"/>
    <mergeCell ref="D38:D39"/>
    <mergeCell ref="E38:E39"/>
    <mergeCell ref="F51:F52"/>
    <mergeCell ref="A44:A45"/>
    <mergeCell ref="B44:B45"/>
    <mergeCell ref="C44:C45"/>
    <mergeCell ref="D44:D45"/>
    <mergeCell ref="E44:E45"/>
    <mergeCell ref="F44:F45"/>
    <mergeCell ref="A51:A52"/>
    <mergeCell ref="B51:B52"/>
    <mergeCell ref="C51:C52"/>
    <mergeCell ref="D51:D52"/>
    <mergeCell ref="E51:E52"/>
    <mergeCell ref="B66:B67"/>
    <mergeCell ref="C66:C67"/>
    <mergeCell ref="D66:D67"/>
    <mergeCell ref="E66:E67"/>
    <mergeCell ref="F66:F67"/>
    <mergeCell ref="B63:B64"/>
    <mergeCell ref="C63:C64"/>
    <mergeCell ref="D63:D64"/>
    <mergeCell ref="E63:E64"/>
    <mergeCell ref="F63:F64"/>
    <mergeCell ref="F75:F76"/>
    <mergeCell ref="A73:A74"/>
    <mergeCell ref="B73:B74"/>
    <mergeCell ref="C73:C74"/>
    <mergeCell ref="D73:D74"/>
    <mergeCell ref="E73:E74"/>
    <mergeCell ref="F73:F74"/>
    <mergeCell ref="A75:A76"/>
    <mergeCell ref="B75:B76"/>
    <mergeCell ref="C75:C76"/>
    <mergeCell ref="D75:D76"/>
    <mergeCell ref="E75:E76"/>
  </mergeCells>
  <pageMargins left="0.82677165354330717" right="0.23622047244094491" top="0.35433070866141736" bottom="0.35433070866141736" header="0.31496062992125984" footer="0.31496062992125984"/>
  <pageSetup paperSize="8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C67" sqref="C67"/>
    </sheetView>
  </sheetViews>
  <sheetFormatPr defaultRowHeight="12.75" x14ac:dyDescent="0.2"/>
  <cols>
    <col min="1" max="1" width="61.7109375" customWidth="1"/>
    <col min="2" max="2" width="25.85546875" customWidth="1"/>
    <col min="3" max="3" width="12.28515625" bestFit="1" customWidth="1"/>
    <col min="4" max="5" width="11.7109375" bestFit="1" customWidth="1"/>
    <col min="6" max="7" width="0" hidden="1" customWidth="1"/>
  </cols>
  <sheetData>
    <row r="1" spans="1:8" x14ac:dyDescent="0.2">
      <c r="A1" s="102" t="s">
        <v>69</v>
      </c>
      <c r="B1" s="103">
        <f>'L_2 (2022)'!B85/1000</f>
        <v>-9439.3739166252726</v>
      </c>
      <c r="C1" s="103">
        <f>'L_2 (2022)'!C85/1000</f>
        <v>-3915.9529250435885</v>
      </c>
      <c r="D1" s="103">
        <f>'L_2 (2022)'!D85/1000</f>
        <v>1791.0261132502501</v>
      </c>
      <c r="E1" s="103">
        <f>'L_2 (2022)'!E85/1000</f>
        <v>5722.9457178332377</v>
      </c>
      <c r="F1" s="103" t="e">
        <f>'L_2 (2022)'!#REF!/1000</f>
        <v>#REF!</v>
      </c>
      <c r="G1" s="103" t="e">
        <f>'L_2 (2022)'!#REF!/1000</f>
        <v>#REF!</v>
      </c>
    </row>
    <row r="2" spans="1:8" x14ac:dyDescent="0.2">
      <c r="A2" s="102" t="s">
        <v>81</v>
      </c>
      <c r="B2" s="103">
        <f>'L_2 (2022)'!B87/1000</f>
        <v>-9439.3739166252726</v>
      </c>
      <c r="C2" s="103">
        <f>'L_2 (2022)'!C87/1000</f>
        <v>-4128.3921939505763</v>
      </c>
      <c r="D2" s="103">
        <f>'L_2 (2022)'!D87/1000</f>
        <v>1148.0307334660636</v>
      </c>
      <c r="E2" s="103">
        <f>'L_2 (2022)'!E87/1000</f>
        <v>4643.4929445271227</v>
      </c>
      <c r="F2" s="103" t="e">
        <f>'L_2 (2022)'!#REF!/1000</f>
        <v>#REF!</v>
      </c>
      <c r="G2" s="103" t="e">
        <f>'L_2 (2022)'!#REF!/1000</f>
        <v>#REF!</v>
      </c>
    </row>
    <row r="4" spans="1:8" x14ac:dyDescent="0.2">
      <c r="A4" t="s">
        <v>34</v>
      </c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 t="s">
        <v>82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L_2 (2022)</vt:lpstr>
      <vt:lpstr>график</vt:lpstr>
      <vt:lpstr>'L_2 (2022)'!Область_печати</vt:lpstr>
    </vt:vector>
  </TitlesOfParts>
  <Company>HQ-SCCM01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Агафонов Александр Александрович</dc:creator>
  <cp:lastModifiedBy>Батманова Мария Николаевна</cp:lastModifiedBy>
  <dcterms:created xsi:type="dcterms:W3CDTF">2021-03-12T00:07:03Z</dcterms:created>
  <dcterms:modified xsi:type="dcterms:W3CDTF">2021-10-22T06:11:24Z</dcterms:modified>
</cp:coreProperties>
</file>